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6.xml" ContentType="application/vnd.ms-excel.person+xml"/>
  <Override PartName="/xl/persons/person1.xml" ContentType="application/vnd.ms-excel.person+xml"/>
  <Override PartName="/xl/persons/person5.xml" ContentType="application/vnd.ms-excel.person+xml"/>
  <Override PartName="/xl/persons/person0.xml" ContentType="application/vnd.ms-excel.person+xml"/>
  <Override PartName="/xl/persons/person4.xml" ContentType="application/vnd.ms-excel.person+xml"/>
  <Override PartName="/xl/persons/person3.xml" ContentType="application/vnd.ms-excel.person+xml"/>
  <Override PartName="/xl/persons/person2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defaultThemeVersion="166925"/>
  <xr:revisionPtr revIDLastSave="0" documentId="13_ncr:1_{336A932E-E5AA-45F8-9A3B-82EFED72E77D}" xr6:coauthVersionLast="47" xr6:coauthVersionMax="47" xr10:uidLastSave="{00000000-0000-0000-0000-000000000000}"/>
  <bookViews>
    <workbookView xWindow="-108" yWindow="-108" windowWidth="23256" windowHeight="12456" tabRatio="818" xr2:uid="{CF0D8F96-5D99-47CC-B822-9D88223D702C}"/>
  </bookViews>
  <sheets>
    <sheet name="1.設計条件" sheetId="1" r:id="rId1"/>
    <sheet name="2.自重" sheetId="2" r:id="rId2"/>
    <sheet name="2.土圧" sheetId="8" r:id="rId3"/>
    <sheet name="2.浮力" sheetId="9" r:id="rId4"/>
    <sheet name="3.照査" sheetId="10" r:id="rId5"/>
    <sheet name="3.照査 (2)" sheetId="14" r:id="rId6"/>
    <sheet name="4-1.部材" sheetId="11" r:id="rId7"/>
    <sheet name="4-2.部材" sheetId="12" r:id="rId8"/>
    <sheet name="4-3.部材" sheetId="13" r:id="rId9"/>
  </sheets>
  <definedNames>
    <definedName name="_xlnm.Print_Area" localSheetId="3">'2.浮力'!$A$1:$BR$38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D14" i="12" l="1"/>
  <c r="GD13" i="12"/>
  <c r="GD12" i="12"/>
  <c r="GD11" i="12"/>
  <c r="GD10" i="12"/>
  <c r="GD9" i="12"/>
  <c r="EU13" i="12"/>
  <c r="EU12" i="12"/>
  <c r="EU11" i="12"/>
  <c r="EU10" i="12"/>
  <c r="EU9" i="12"/>
  <c r="DL12" i="12"/>
  <c r="DL11" i="12"/>
  <c r="DL10" i="12"/>
  <c r="DL9" i="12"/>
  <c r="AX37" i="14"/>
  <c r="AX35" i="14"/>
  <c r="BC31" i="14"/>
  <c r="BL31" i="14" s="1"/>
  <c r="BE30" i="14"/>
  <c r="BC27" i="14"/>
  <c r="BL27" i="14" s="1"/>
  <c r="BG26" i="14"/>
  <c r="N21" i="14"/>
  <c r="AU13" i="14"/>
  <c r="AV10" i="14"/>
  <c r="AO10" i="14"/>
  <c r="AO13" i="14" s="1"/>
  <c r="AV9" i="14"/>
  <c r="AS9" i="14"/>
  <c r="AT3" i="14"/>
  <c r="AQ3" i="14"/>
  <c r="AQ36" i="9"/>
  <c r="AX3" i="14" l="1"/>
  <c r="BR38" i="1"/>
  <c r="AI38" i="2" s="1"/>
  <c r="BR38" i="2" s="1"/>
  <c r="DA38" i="2" s="1"/>
  <c r="AI38" i="9" s="1"/>
  <c r="BR38" i="9" s="1"/>
  <c r="T26" i="1"/>
  <c r="AT9" i="8" s="1"/>
  <c r="N24" i="13"/>
  <c r="T24" i="13" s="1"/>
  <c r="Q27" i="13"/>
  <c r="V27" i="13" s="1"/>
  <c r="N28" i="13"/>
  <c r="G15" i="13"/>
  <c r="AS4" i="13" s="1"/>
  <c r="AZ4" i="13" s="1"/>
  <c r="G14" i="13"/>
  <c r="G13" i="13"/>
  <c r="G12" i="13"/>
  <c r="G11" i="13"/>
  <c r="G10" i="13"/>
  <c r="AV4" i="13"/>
  <c r="T14" i="12"/>
  <c r="Q35" i="12" s="1"/>
  <c r="T13" i="12"/>
  <c r="Q34" i="12" s="1"/>
  <c r="T12" i="12"/>
  <c r="Q33" i="12" s="1"/>
  <c r="T11" i="12"/>
  <c r="Q32" i="12" s="1"/>
  <c r="T10" i="12"/>
  <c r="Q31" i="12" s="1"/>
  <c r="BC14" i="12"/>
  <c r="AZ35" i="12" s="1"/>
  <c r="BC13" i="12"/>
  <c r="AZ34" i="12" s="1"/>
  <c r="BC12" i="12"/>
  <c r="AZ33" i="12" s="1"/>
  <c r="BC11" i="12"/>
  <c r="AZ32" i="12" s="1"/>
  <c r="CL14" i="12"/>
  <c r="CI35" i="12" s="1"/>
  <c r="CL13" i="12"/>
  <c r="CI34" i="12" s="1"/>
  <c r="CL12" i="12"/>
  <c r="CI33" i="12" s="1"/>
  <c r="DU14" i="12"/>
  <c r="DR35" i="12" s="1"/>
  <c r="DU13" i="12"/>
  <c r="DR34" i="12" s="1"/>
  <c r="FD14" i="12"/>
  <c r="FA35" i="12" s="1"/>
  <c r="O28" i="11"/>
  <c r="T12" i="11"/>
  <c r="Q10" i="11"/>
  <c r="N10" i="11"/>
  <c r="BY5" i="11"/>
  <c r="Y21" i="10"/>
  <c r="Y20" i="10"/>
  <c r="Y19" i="10"/>
  <c r="Y18" i="10"/>
  <c r="Y17" i="10"/>
  <c r="Y16" i="10"/>
  <c r="Y15" i="10"/>
  <c r="AX10" i="10"/>
  <c r="AZ7" i="10"/>
  <c r="C30" i="10"/>
  <c r="G30" i="10" s="1"/>
  <c r="G29" i="10"/>
  <c r="Y13" i="10"/>
  <c r="Y12" i="10"/>
  <c r="Y11" i="10"/>
  <c r="Y10" i="10"/>
  <c r="Y9" i="10"/>
  <c r="Y8" i="10"/>
  <c r="Y7" i="10"/>
  <c r="AX12" i="9"/>
  <c r="L25" i="9"/>
  <c r="O7" i="9"/>
  <c r="BZ34" i="2"/>
  <c r="BF9" i="8"/>
  <c r="AQ9" i="8"/>
  <c r="BN22" i="8" s="1"/>
  <c r="AY24" i="8" s="1"/>
  <c r="AO26" i="8" s="1"/>
  <c r="BI9" i="8"/>
  <c r="BI12" i="8" s="1"/>
  <c r="R26" i="8"/>
  <c r="BP4" i="8" s="1"/>
  <c r="AF7" i="8"/>
  <c r="CJ34" i="8" s="1"/>
  <c r="AF6" i="8"/>
  <c r="CB34" i="8" s="1"/>
  <c r="AF5" i="8"/>
  <c r="BX34" i="8" s="1"/>
  <c r="AF4" i="8"/>
  <c r="AF3" i="8"/>
  <c r="AI38" i="8" l="1"/>
  <c r="BR38" i="8" s="1"/>
  <c r="DA38" i="8" s="1"/>
  <c r="AO12" i="8"/>
  <c r="L29" i="10"/>
  <c r="N33" i="10" s="1"/>
  <c r="AZ9" i="8"/>
  <c r="BC9" i="8"/>
  <c r="L30" i="8"/>
  <c r="O30" i="8" s="1"/>
  <c r="BA5" i="8"/>
  <c r="BX30" i="8"/>
  <c r="BX31" i="8" s="1"/>
  <c r="BN15" i="8"/>
  <c r="AY17" i="8" s="1"/>
  <c r="AO19" i="8" s="1"/>
  <c r="BC4" i="8"/>
  <c r="BG7" i="1"/>
  <c r="T6" i="1"/>
  <c r="T13" i="1" s="1"/>
  <c r="T20" i="1"/>
  <c r="T18" i="1"/>
  <c r="T19" i="1"/>
  <c r="CH20" i="8" l="1"/>
  <c r="O19" i="11"/>
  <c r="N23" i="14"/>
  <c r="Q23" i="14" s="1"/>
  <c r="AZ10" i="11" s="1"/>
  <c r="U21" i="14"/>
  <c r="Y21" i="14" s="1"/>
  <c r="AE34" i="14"/>
  <c r="AI38" i="10"/>
  <c r="BR38" i="10" s="1"/>
  <c r="AI38" i="14" s="1"/>
  <c r="BR38" i="14" s="1"/>
  <c r="AI38" i="11" s="1"/>
  <c r="BD12" i="13"/>
  <c r="AE32" i="13"/>
  <c r="AB32" i="13"/>
  <c r="CN34" i="8"/>
  <c r="R14" i="10"/>
  <c r="G38" i="11"/>
  <c r="BZ37" i="11" s="1"/>
  <c r="BA12" i="8"/>
  <c r="AO13" i="8" s="1"/>
  <c r="AV12" i="8"/>
  <c r="AT13" i="8" s="1"/>
  <c r="CH25" i="8"/>
  <c r="BF5" i="8"/>
  <c r="AU19" i="14" l="1"/>
  <c r="AU24" i="14"/>
  <c r="AP9" i="11"/>
  <c r="BD10" i="14"/>
  <c r="BC13" i="14" s="1"/>
  <c r="AP8" i="11"/>
  <c r="AU21" i="14"/>
  <c r="AX24" i="14"/>
  <c r="AX19" i="14"/>
  <c r="BB19" i="14" s="1"/>
  <c r="AX21" i="14" s="1"/>
  <c r="AY10" i="14"/>
  <c r="AY13" i="14" s="1"/>
  <c r="BR38" i="11"/>
  <c r="DA38" i="11" s="1"/>
  <c r="AI38" i="12" s="1"/>
  <c r="BR38" i="12" s="1"/>
  <c r="DA38" i="12" s="1"/>
  <c r="EJ38" i="12" s="1"/>
  <c r="FS38" i="12" s="1"/>
  <c r="HB38" i="12" s="1"/>
  <c r="AI38" i="13" s="1"/>
  <c r="BR38" i="13" s="1"/>
  <c r="AF8" i="8"/>
  <c r="U28" i="11"/>
  <c r="CE5" i="11"/>
  <c r="BB33" i="11"/>
  <c r="BB24" i="14" l="1"/>
  <c r="BB21" i="14"/>
  <c r="BB36" i="11"/>
  <c r="BG36" i="11" s="1"/>
  <c r="CO11" i="11"/>
  <c r="BG33" i="11"/>
  <c r="CR34" i="8"/>
  <c r="N28" i="8"/>
  <c r="Q28" i="8" s="1"/>
  <c r="CF34" i="8"/>
  <c r="BX35" i="8" s="1"/>
  <c r="O14" i="10" s="1"/>
  <c r="BF38" i="2"/>
  <c r="BO32" i="2"/>
  <c r="BA36" i="2" s="1"/>
  <c r="BO31" i="2"/>
  <c r="BE36" i="2" s="1"/>
  <c r="BF26" i="2"/>
  <c r="BO18" i="2"/>
  <c r="BE24" i="2" s="1"/>
  <c r="BO7" i="2"/>
  <c r="BO20" i="2" s="1"/>
  <c r="BB25" i="2" s="1"/>
  <c r="BF13" i="2"/>
  <c r="BO5" i="2"/>
  <c r="BE11" i="2" s="1"/>
  <c r="W38" i="2"/>
  <c r="W26" i="2"/>
  <c r="W14" i="2"/>
  <c r="AF22" i="2"/>
  <c r="V25" i="2" s="1"/>
  <c r="AF34" i="2"/>
  <c r="R36" i="2" s="1"/>
  <c r="AF6" i="2"/>
  <c r="V12" i="2" s="1"/>
  <c r="AF5" i="2"/>
  <c r="R12" i="2" s="1"/>
  <c r="AR10" i="14" l="1"/>
  <c r="AR13" i="14" s="1"/>
  <c r="BH13" i="14" s="1"/>
  <c r="BG15" i="14"/>
  <c r="BG17" i="14" s="1"/>
  <c r="L19" i="11"/>
  <c r="AW14" i="11"/>
  <c r="BI22" i="8"/>
  <c r="AT24" i="8" s="1"/>
  <c r="AS26" i="8" s="1"/>
  <c r="BI15" i="8"/>
  <c r="AT17" i="8" s="1"/>
  <c r="AS19" i="8" s="1"/>
  <c r="CD20" i="8"/>
  <c r="BC5" i="8"/>
  <c r="BN5" i="8" s="1"/>
  <c r="CD25" i="8"/>
  <c r="AP21" i="11"/>
  <c r="AP10" i="11"/>
  <c r="AQ22" i="11"/>
  <c r="AS21" i="11"/>
  <c r="AT22" i="11"/>
  <c r="CI13" i="11"/>
  <c r="CH21" i="11"/>
  <c r="CF23" i="11" s="1"/>
  <c r="CB25" i="11" s="1"/>
  <c r="AX37" i="2"/>
  <c r="BM37" i="2" s="1"/>
  <c r="CG14" i="2" s="1"/>
  <c r="BM36" i="2"/>
  <c r="BB38" i="2" s="1"/>
  <c r="BM38" i="2" s="1"/>
  <c r="CJ14" i="2" s="1"/>
  <c r="I13" i="10" s="1"/>
  <c r="BE12" i="2"/>
  <c r="BO21" i="2"/>
  <c r="BA11" i="2"/>
  <c r="BM11" i="2" s="1"/>
  <c r="BB13" i="2" s="1"/>
  <c r="BM13" i="2" s="1"/>
  <c r="CJ11" i="2" s="1"/>
  <c r="V37" i="2"/>
  <c r="X13" i="2"/>
  <c r="AF33" i="2"/>
  <c r="S37" i="2" s="1"/>
  <c r="R24" i="2"/>
  <c r="AD12" i="2"/>
  <c r="S14" i="2" s="1"/>
  <c r="BX13" i="8" l="1"/>
  <c r="BX10" i="8"/>
  <c r="BX11" i="8"/>
  <c r="BX4" i="8"/>
  <c r="BX5" i="8"/>
  <c r="BX9" i="8"/>
  <c r="BX8" i="8"/>
  <c r="BX12" i="8"/>
  <c r="BX15" i="8"/>
  <c r="BX7" i="8"/>
  <c r="BX14" i="8"/>
  <c r="BX16" i="8"/>
  <c r="BX3" i="8"/>
  <c r="BX6" i="8"/>
  <c r="CA8" i="8"/>
  <c r="CA14" i="8"/>
  <c r="CA16" i="8"/>
  <c r="CA4" i="8"/>
  <c r="CA7" i="8"/>
  <c r="CA5" i="8"/>
  <c r="CA3" i="8"/>
  <c r="CA6" i="8"/>
  <c r="CA9" i="8"/>
  <c r="CA13" i="8"/>
  <c r="CA15" i="8"/>
  <c r="CA12" i="8"/>
  <c r="CA11" i="8"/>
  <c r="CA10" i="8"/>
  <c r="AP3" i="1"/>
  <c r="AT3" i="1" s="1"/>
  <c r="BG3" i="1"/>
  <c r="CI19" i="2"/>
  <c r="CM14" i="2"/>
  <c r="CE19" i="2" s="1"/>
  <c r="BA24" i="2"/>
  <c r="BM24" i="2" s="1"/>
  <c r="BB26" i="2" s="1"/>
  <c r="BM26" i="2" s="1"/>
  <c r="CJ12" i="2" s="1"/>
  <c r="CJ13" i="2" s="1"/>
  <c r="CI18" i="2" s="1"/>
  <c r="BE25" i="2"/>
  <c r="BG6" i="1"/>
  <c r="CD8" i="8" l="1"/>
  <c r="CG8" i="8"/>
  <c r="CD5" i="8"/>
  <c r="CG5" i="8" s="1"/>
  <c r="CD14" i="8"/>
  <c r="CG14" i="8" s="1"/>
  <c r="CD6" i="8"/>
  <c r="CG6" i="8" s="1"/>
  <c r="CD9" i="8"/>
  <c r="CG9" i="8" s="1"/>
  <c r="CD3" i="8"/>
  <c r="CG3" i="8" s="1"/>
  <c r="CD16" i="8"/>
  <c r="CG16" i="8" s="1"/>
  <c r="CD4" i="8"/>
  <c r="CG4" i="8" s="1"/>
  <c r="CD11" i="8"/>
  <c r="CG11" i="8" s="1"/>
  <c r="CD7" i="8"/>
  <c r="CG7" i="8" s="1"/>
  <c r="CD10" i="8"/>
  <c r="CG10" i="8" s="1"/>
  <c r="CD15" i="8"/>
  <c r="CG15" i="8" s="1"/>
  <c r="CD13" i="8"/>
  <c r="CG13" i="8" s="1"/>
  <c r="CD12" i="8"/>
  <c r="CG12" i="8" s="1"/>
  <c r="E8" i="9"/>
  <c r="E10" i="9"/>
  <c r="AN33" i="9"/>
  <c r="E12" i="9"/>
  <c r="AN35" i="9"/>
  <c r="E11" i="9"/>
  <c r="E7" i="9"/>
  <c r="AN34" i="9"/>
  <c r="E9" i="9"/>
  <c r="E21" i="9" s="1"/>
  <c r="AN36" i="9"/>
  <c r="AO36" i="9" s="1"/>
  <c r="AN32" i="9"/>
  <c r="AN31" i="9"/>
  <c r="BP3" i="1"/>
  <c r="CN19" i="2"/>
  <c r="CC35" i="2" s="1"/>
  <c r="CL35" i="2" s="1"/>
  <c r="CI32" i="2"/>
  <c r="CI33" i="2"/>
  <c r="BG4" i="1"/>
  <c r="AF7" i="2" s="1"/>
  <c r="AF19" i="2" s="1"/>
  <c r="V24" i="2" s="1"/>
  <c r="AD24" i="2" s="1"/>
  <c r="BW29" i="2"/>
  <c r="BW30" i="2"/>
  <c r="BW31" i="2"/>
  <c r="BW32" i="2"/>
  <c r="BW33" i="2"/>
  <c r="BW34" i="2"/>
  <c r="H10" i="9" l="1"/>
  <c r="H13" i="9"/>
  <c r="R13" i="9" s="1"/>
  <c r="H25" i="9" s="1"/>
  <c r="T25" i="9" s="1"/>
  <c r="H12" i="9"/>
  <c r="H11" i="9"/>
  <c r="H8" i="9"/>
  <c r="H9" i="9"/>
  <c r="H7" i="9"/>
  <c r="O13" i="10"/>
  <c r="U13" i="10" s="1"/>
  <c r="BT12" i="8"/>
  <c r="DF9" i="12"/>
  <c r="E9" i="12"/>
  <c r="FX9" i="12"/>
  <c r="BW9" i="12"/>
  <c r="D33" i="11"/>
  <c r="F7" i="10"/>
  <c r="EO9" i="12"/>
  <c r="BW32" i="11"/>
  <c r="AN9" i="12"/>
  <c r="BW37" i="11"/>
  <c r="F12" i="10"/>
  <c r="FX14" i="12"/>
  <c r="FY14" i="12" s="1"/>
  <c r="D38" i="11"/>
  <c r="FX13" i="12"/>
  <c r="F11" i="10"/>
  <c r="EO13" i="12"/>
  <c r="EP13" i="12" s="1"/>
  <c r="D37" i="11"/>
  <c r="BW36" i="11"/>
  <c r="BT14" i="8"/>
  <c r="EO12" i="12"/>
  <c r="BW35" i="11"/>
  <c r="DF12" i="12"/>
  <c r="DG12" i="12" s="1"/>
  <c r="D36" i="11"/>
  <c r="FX12" i="12"/>
  <c r="F10" i="10"/>
  <c r="BT11" i="8"/>
  <c r="BW11" i="12"/>
  <c r="EO11" i="12"/>
  <c r="D35" i="11"/>
  <c r="F9" i="10"/>
  <c r="DF11" i="12"/>
  <c r="BW34" i="11"/>
  <c r="FX11" i="12"/>
  <c r="BT4" i="8"/>
  <c r="F8" i="10"/>
  <c r="AN10" i="12"/>
  <c r="DF10" i="12"/>
  <c r="BW33" i="11"/>
  <c r="FX10" i="12"/>
  <c r="D34" i="11"/>
  <c r="BW10" i="12"/>
  <c r="EO10" i="12"/>
  <c r="BT16" i="8"/>
  <c r="BT3" i="8"/>
  <c r="BT8" i="8"/>
  <c r="BT5" i="8"/>
  <c r="AN8" i="9"/>
  <c r="F17" i="10"/>
  <c r="BT13" i="8"/>
  <c r="BT10" i="8"/>
  <c r="BT9" i="8"/>
  <c r="BT15" i="8"/>
  <c r="BT7" i="8"/>
  <c r="BT6" i="8"/>
  <c r="F21" i="9"/>
  <c r="G17" i="10" s="1"/>
  <c r="F10" i="9"/>
  <c r="E22" i="9"/>
  <c r="F7" i="9"/>
  <c r="E19" i="9"/>
  <c r="F8" i="9"/>
  <c r="E20" i="9"/>
  <c r="F12" i="9"/>
  <c r="E24" i="9"/>
  <c r="F20" i="10" s="1"/>
  <c r="F11" i="9"/>
  <c r="E23" i="9"/>
  <c r="AO31" i="9"/>
  <c r="AO34" i="9"/>
  <c r="AO33" i="9"/>
  <c r="S26" i="2"/>
  <c r="AD26" i="2" s="1"/>
  <c r="CJ8" i="2" s="1"/>
  <c r="AO32" i="9"/>
  <c r="F9" i="9"/>
  <c r="AO35" i="9"/>
  <c r="AF30" i="2"/>
  <c r="V36" i="2" s="1"/>
  <c r="AD36" i="2" s="1"/>
  <c r="BX34" i="2"/>
  <c r="BX33" i="2"/>
  <c r="BX32" i="2"/>
  <c r="BX31" i="2"/>
  <c r="BX30" i="2"/>
  <c r="BX29" i="2"/>
  <c r="L12" i="9" l="1"/>
  <c r="R12" i="9" s="1"/>
  <c r="H24" i="9" s="1"/>
  <c r="AQ11" i="9" s="1"/>
  <c r="AM17" i="13"/>
  <c r="D14" i="13"/>
  <c r="GA27" i="12"/>
  <c r="D37" i="13"/>
  <c r="ER27" i="12"/>
  <c r="D34" i="13"/>
  <c r="AM14" i="13"/>
  <c r="D11" i="13"/>
  <c r="ER24" i="12"/>
  <c r="GA24" i="12"/>
  <c r="AM18" i="13"/>
  <c r="D15" i="13"/>
  <c r="GA28" i="12"/>
  <c r="D38" i="13"/>
  <c r="D35" i="13"/>
  <c r="AM15" i="13"/>
  <c r="D12" i="13"/>
  <c r="ER25" i="12"/>
  <c r="GA25" i="12"/>
  <c r="GA23" i="12"/>
  <c r="D33" i="13"/>
  <c r="ER23" i="12"/>
  <c r="AM13" i="13"/>
  <c r="D10" i="13"/>
  <c r="AM16" i="13"/>
  <c r="D13" i="13"/>
  <c r="GA26" i="12"/>
  <c r="ER26" i="12"/>
  <c r="D36" i="13"/>
  <c r="P25" i="9"/>
  <c r="Z25" i="9" s="1"/>
  <c r="I21" i="10" s="1"/>
  <c r="AQ12" i="9"/>
  <c r="L11" i="9"/>
  <c r="L10" i="9" s="1"/>
  <c r="GA31" i="12"/>
  <c r="AQ31" i="12"/>
  <c r="ER31" i="12"/>
  <c r="BZ31" i="12"/>
  <c r="GA35" i="12"/>
  <c r="ER33" i="12"/>
  <c r="GA33" i="12"/>
  <c r="I11" i="10" a="1"/>
  <c r="I11" i="10" s="1"/>
  <c r="GA34" i="12"/>
  <c r="ER34" i="12"/>
  <c r="ER32" i="12"/>
  <c r="GA32" i="12"/>
  <c r="BZ32" i="12"/>
  <c r="BZ30" i="12"/>
  <c r="GA30" i="12"/>
  <c r="AQ30" i="12"/>
  <c r="ER30" i="12"/>
  <c r="H30" i="12"/>
  <c r="AN7" i="9"/>
  <c r="F16" i="10"/>
  <c r="EP10" i="12"/>
  <c r="CV5" i="8"/>
  <c r="EP12" i="12"/>
  <c r="FY13" i="12"/>
  <c r="EP9" i="12"/>
  <c r="BZ24" i="12"/>
  <c r="AQ24" i="12"/>
  <c r="DI31" i="12"/>
  <c r="DI24" i="12"/>
  <c r="E35" i="11"/>
  <c r="G9" i="10"/>
  <c r="BX34" i="11"/>
  <c r="BX10" i="12"/>
  <c r="FY11" i="12"/>
  <c r="Y38" i="11"/>
  <c r="GM29" i="12" s="1"/>
  <c r="DI23" i="12"/>
  <c r="H23" i="12"/>
  <c r="DI30" i="12"/>
  <c r="BZ23" i="12"/>
  <c r="AQ23" i="12"/>
  <c r="BX11" i="12"/>
  <c r="BX33" i="11"/>
  <c r="G8" i="10"/>
  <c r="E34" i="11"/>
  <c r="BX35" i="11"/>
  <c r="G10" i="10"/>
  <c r="E36" i="11"/>
  <c r="AN6" i="9"/>
  <c r="AO6" i="9" s="1"/>
  <c r="F15" i="10"/>
  <c r="G34" i="11"/>
  <c r="G33" i="11"/>
  <c r="BZ32" i="11" s="1"/>
  <c r="BX9" i="12"/>
  <c r="E37" i="11"/>
  <c r="BX36" i="11"/>
  <c r="G11" i="10"/>
  <c r="FY10" i="12"/>
  <c r="DG11" i="12"/>
  <c r="I10" i="10" a="1"/>
  <c r="I10" i="10" s="1"/>
  <c r="DI26" i="12"/>
  <c r="DI33" i="12"/>
  <c r="AN10" i="9"/>
  <c r="AO10" i="9" s="1"/>
  <c r="F19" i="10"/>
  <c r="AN9" i="9"/>
  <c r="AO9" i="9" s="1"/>
  <c r="F18" i="10"/>
  <c r="DI32" i="12"/>
  <c r="DI25" i="12"/>
  <c r="BZ25" i="12"/>
  <c r="FY12" i="12"/>
  <c r="FY9" i="12"/>
  <c r="E33" i="11"/>
  <c r="G7" i="10"/>
  <c r="BX32" i="11"/>
  <c r="CV11" i="8"/>
  <c r="CV9" i="8"/>
  <c r="CV7" i="8"/>
  <c r="DG10" i="12"/>
  <c r="G35" i="11"/>
  <c r="G36" i="11"/>
  <c r="BZ35" i="11" s="1"/>
  <c r="G37" i="11"/>
  <c r="BZ36" i="11" s="1"/>
  <c r="F9" i="12"/>
  <c r="BX37" i="11"/>
  <c r="G12" i="10"/>
  <c r="E38" i="11"/>
  <c r="AO10" i="12"/>
  <c r="EP11" i="12"/>
  <c r="AO9" i="12"/>
  <c r="DG9" i="12"/>
  <c r="F24" i="9"/>
  <c r="G20" i="10" s="1"/>
  <c r="AN11" i="9"/>
  <c r="AO11" i="9" s="1"/>
  <c r="F20" i="9"/>
  <c r="G16" i="10" s="1"/>
  <c r="AO8" i="9"/>
  <c r="F19" i="9"/>
  <c r="G15" i="10" s="1"/>
  <c r="AO7" i="9"/>
  <c r="F23" i="9"/>
  <c r="G19" i="10" s="1"/>
  <c r="F22" i="9"/>
  <c r="G18" i="10" s="1"/>
  <c r="R11" i="9"/>
  <c r="H23" i="9" s="1"/>
  <c r="S38" i="2"/>
  <c r="AD38" i="2" s="1"/>
  <c r="CJ9" i="2" s="1"/>
  <c r="O23" i="11"/>
  <c r="BB12" i="9" l="1"/>
  <c r="BF12" i="9" s="1"/>
  <c r="AT37" i="9" s="1"/>
  <c r="AW37" i="9" s="1"/>
  <c r="O21" i="10" s="1"/>
  <c r="U21" i="10" s="1"/>
  <c r="E36" i="13"/>
  <c r="AN16" i="13"/>
  <c r="E13" i="13"/>
  <c r="GB26" i="12"/>
  <c r="ES26" i="12"/>
  <c r="GB24" i="12"/>
  <c r="ES24" i="12"/>
  <c r="E34" i="13"/>
  <c r="AN14" i="13"/>
  <c r="E11" i="13"/>
  <c r="GD26" i="12"/>
  <c r="EU26" i="12"/>
  <c r="AN18" i="13"/>
  <c r="E15" i="13"/>
  <c r="GB28" i="12"/>
  <c r="E38" i="13"/>
  <c r="GD27" i="12"/>
  <c r="EU27" i="12"/>
  <c r="AN13" i="13"/>
  <c r="E10" i="13"/>
  <c r="ES23" i="12"/>
  <c r="GB23" i="12"/>
  <c r="E33" i="13"/>
  <c r="E37" i="13"/>
  <c r="ES27" i="12"/>
  <c r="AN17" i="13"/>
  <c r="E14" i="13"/>
  <c r="GB27" i="12"/>
  <c r="GB25" i="12"/>
  <c r="E35" i="13"/>
  <c r="AN15" i="13"/>
  <c r="E12" i="13"/>
  <c r="ES25" i="12"/>
  <c r="T23" i="9"/>
  <c r="L23" i="9"/>
  <c r="T24" i="9"/>
  <c r="L24" i="9"/>
  <c r="P24" i="9" s="1"/>
  <c r="AU11" i="9"/>
  <c r="AX11" i="9"/>
  <c r="L9" i="9"/>
  <c r="R10" i="9"/>
  <c r="H22" i="9" s="1"/>
  <c r="GB31" i="12"/>
  <c r="GB30" i="12"/>
  <c r="ES31" i="12"/>
  <c r="AR30" i="12"/>
  <c r="AR31" i="12"/>
  <c r="ES30" i="12"/>
  <c r="CA30" i="12"/>
  <c r="I30" i="12"/>
  <c r="CA31" i="12"/>
  <c r="V38" i="11"/>
  <c r="GJ29" i="12" s="1"/>
  <c r="Y33" i="11"/>
  <c r="V33" i="11" s="1"/>
  <c r="Q29" i="12" s="1"/>
  <c r="GB35" i="12"/>
  <c r="GB34" i="12"/>
  <c r="GB33" i="12"/>
  <c r="ES34" i="12"/>
  <c r="ES33" i="12"/>
  <c r="ES32" i="12"/>
  <c r="CA32" i="12"/>
  <c r="GB32" i="12"/>
  <c r="Y36" i="11"/>
  <c r="V36" i="11" s="1"/>
  <c r="DR29" i="12" s="1"/>
  <c r="CA24" i="12"/>
  <c r="AR24" i="12"/>
  <c r="DJ31" i="12"/>
  <c r="DJ30" i="12"/>
  <c r="DJ24" i="12"/>
  <c r="Y35" i="11"/>
  <c r="BZ34" i="11"/>
  <c r="DL26" i="12"/>
  <c r="DJ23" i="12"/>
  <c r="I23" i="12"/>
  <c r="CA23" i="12"/>
  <c r="AR23" i="12"/>
  <c r="BA13" i="11"/>
  <c r="CC37" i="11" s="1"/>
  <c r="CF37" i="11" s="1"/>
  <c r="DJ26" i="12"/>
  <c r="DJ33" i="12"/>
  <c r="G8" i="11"/>
  <c r="Q9" i="11" s="1"/>
  <c r="V9" i="11" s="1"/>
  <c r="Q12" i="11" s="1"/>
  <c r="AA12" i="11" s="1"/>
  <c r="BX20" i="8"/>
  <c r="BX21" i="8" s="1"/>
  <c r="L14" i="10" s="1"/>
  <c r="BX25" i="8"/>
  <c r="BX26" i="8" s="1"/>
  <c r="I14" i="10" s="1"/>
  <c r="Y34" i="11"/>
  <c r="BZ33" i="11"/>
  <c r="Y37" i="11"/>
  <c r="DJ32" i="12"/>
  <c r="DJ25" i="12"/>
  <c r="CA25" i="12"/>
  <c r="P23" i="9"/>
  <c r="AQ10" i="9"/>
  <c r="L22" i="10" l="1"/>
  <c r="AX17" i="14" s="1"/>
  <c r="BB11" i="9"/>
  <c r="BF11" i="9" s="1"/>
  <c r="AT36" i="9" s="1"/>
  <c r="GJ14" i="12" s="1"/>
  <c r="GM14" i="12" s="1"/>
  <c r="GJ35" i="12" s="1"/>
  <c r="AQ9" i="9"/>
  <c r="AU9" i="9" s="1"/>
  <c r="Z24" i="9"/>
  <c r="I20" i="10" s="1"/>
  <c r="GD35" i="12" s="1"/>
  <c r="T22" i="9"/>
  <c r="L22" i="9"/>
  <c r="P22" i="9" s="1"/>
  <c r="AU10" i="9"/>
  <c r="AX10" i="9"/>
  <c r="L8" i="9"/>
  <c r="L7" i="9" s="1"/>
  <c r="R7" i="9" s="1"/>
  <c r="H19" i="9" s="1"/>
  <c r="AQ31" i="9" s="1"/>
  <c r="R9" i="9"/>
  <c r="H21" i="9" s="1"/>
  <c r="Z23" i="9"/>
  <c r="I19" i="10" s="1"/>
  <c r="DU29" i="12"/>
  <c r="U14" i="10"/>
  <c r="T29" i="12"/>
  <c r="V37" i="11"/>
  <c r="FA29" i="12" s="1"/>
  <c r="FD29" i="12"/>
  <c r="CC35" i="11"/>
  <c r="CF35" i="11" s="1"/>
  <c r="CI35" i="11" s="1"/>
  <c r="J37" i="11"/>
  <c r="M37" i="11" s="1"/>
  <c r="J34" i="11"/>
  <c r="M34" i="11" s="1"/>
  <c r="J33" i="11"/>
  <c r="M33" i="11" s="1"/>
  <c r="CC32" i="11"/>
  <c r="CF32" i="11" s="1"/>
  <c r="CI32" i="11" s="1"/>
  <c r="CC33" i="11"/>
  <c r="CF33" i="11" s="1"/>
  <c r="CI33" i="11" s="1"/>
  <c r="CC34" i="11"/>
  <c r="CF34" i="11" s="1"/>
  <c r="CI34" i="11" s="1"/>
  <c r="V34" i="11"/>
  <c r="AZ29" i="12" s="1"/>
  <c r="BC29" i="12"/>
  <c r="V35" i="11"/>
  <c r="CI29" i="12" s="1"/>
  <c r="CL29" i="12"/>
  <c r="CI37" i="11"/>
  <c r="J38" i="11"/>
  <c r="M38" i="11" s="1"/>
  <c r="J35" i="11"/>
  <c r="M35" i="11" s="1"/>
  <c r="L23" i="11"/>
  <c r="G24" i="11" s="1"/>
  <c r="G20" i="11"/>
  <c r="J36" i="11"/>
  <c r="M36" i="11" s="1"/>
  <c r="CC36" i="11"/>
  <c r="CF36" i="11" s="1"/>
  <c r="Y14" i="10"/>
  <c r="Y22" i="10" s="1"/>
  <c r="R19" i="14" s="1"/>
  <c r="AX9" i="9" l="1"/>
  <c r="BB9" i="9" s="1"/>
  <c r="BF9" i="9" s="1"/>
  <c r="AT34" i="9" s="1"/>
  <c r="BB10" i="9"/>
  <c r="BF10" i="9" s="1"/>
  <c r="AT35" i="9" s="1"/>
  <c r="GJ13" i="12" s="1"/>
  <c r="Z22" i="9"/>
  <c r="I18" i="10" s="1"/>
  <c r="DL33" i="12" s="1"/>
  <c r="GP35" i="12"/>
  <c r="AQ8" i="9"/>
  <c r="AX8" i="9" s="1"/>
  <c r="T19" i="9"/>
  <c r="L19" i="9"/>
  <c r="P19" i="9" s="1"/>
  <c r="Z19" i="9" s="1"/>
  <c r="I15" i="10" s="1"/>
  <c r="L21" i="9"/>
  <c r="P21" i="9" s="1"/>
  <c r="T21" i="9"/>
  <c r="R8" i="9"/>
  <c r="H20" i="9" s="1"/>
  <c r="EU34" i="12"/>
  <c r="GD34" i="12"/>
  <c r="S37" i="11"/>
  <c r="EX29" i="12" s="1"/>
  <c r="P37" i="11"/>
  <c r="EU29" i="12" s="1"/>
  <c r="P33" i="11"/>
  <c r="K29" i="12" s="1"/>
  <c r="W29" i="12" s="1"/>
  <c r="S33" i="11"/>
  <c r="N29" i="12" s="1"/>
  <c r="AA29" i="12" s="1"/>
  <c r="P34" i="11"/>
  <c r="AT29" i="12" s="1"/>
  <c r="BF29" i="12" s="1"/>
  <c r="S34" i="11"/>
  <c r="AW29" i="12" s="1"/>
  <c r="BJ29" i="12" s="1"/>
  <c r="AX8" i="10"/>
  <c r="Q26" i="10"/>
  <c r="CI36" i="11"/>
  <c r="CX36" i="11"/>
  <c r="P35" i="11"/>
  <c r="CC29" i="12" s="1"/>
  <c r="CO29" i="12" s="1"/>
  <c r="S35" i="11"/>
  <c r="CF29" i="12" s="1"/>
  <c r="CS29" i="12" s="1"/>
  <c r="P36" i="11"/>
  <c r="S36" i="11"/>
  <c r="DO29" i="12" s="1"/>
  <c r="S38" i="11"/>
  <c r="GG29" i="12" s="1"/>
  <c r="P38" i="11"/>
  <c r="GD29" i="12" s="1"/>
  <c r="AQ6" i="9"/>
  <c r="AF8" i="2"/>
  <c r="BO6" i="2" s="1"/>
  <c r="BO9" i="2" s="1"/>
  <c r="AQ33" i="9" s="1"/>
  <c r="GD33" i="12" l="1"/>
  <c r="EU33" i="12"/>
  <c r="AU8" i="9"/>
  <c r="BB8" i="9" s="1"/>
  <c r="BF8" i="9" s="1"/>
  <c r="AT33" i="9" s="1"/>
  <c r="DR11" i="12" s="1"/>
  <c r="Z21" i="9"/>
  <c r="I17" i="10" s="1"/>
  <c r="GD32" i="12" s="1"/>
  <c r="AQ35" i="9"/>
  <c r="AQ34" i="9"/>
  <c r="FA13" i="12"/>
  <c r="FD13" i="12" s="1"/>
  <c r="FA34" i="12" s="1"/>
  <c r="FG34" i="12" s="1"/>
  <c r="FA12" i="12"/>
  <c r="GJ12" i="12"/>
  <c r="DR12" i="12"/>
  <c r="DU12" i="12" s="1"/>
  <c r="DR33" i="12" s="1"/>
  <c r="DX33" i="12" s="1"/>
  <c r="AQ7" i="9"/>
  <c r="AX7" i="9" s="1"/>
  <c r="AQ32" i="9"/>
  <c r="T20" i="9"/>
  <c r="L20" i="9"/>
  <c r="P20" i="9" s="1"/>
  <c r="AU6" i="9"/>
  <c r="AX6" i="9"/>
  <c r="CU36" i="11"/>
  <c r="FA36" i="12" s="1"/>
  <c r="FD36" i="12"/>
  <c r="EU30" i="12"/>
  <c r="GD30" i="12"/>
  <c r="AT30" i="12"/>
  <c r="K30" i="12"/>
  <c r="DL30" i="12"/>
  <c r="CC30" i="12"/>
  <c r="DL29" i="12"/>
  <c r="DX29" i="12" s="1"/>
  <c r="EB29" i="12"/>
  <c r="ER10" i="12"/>
  <c r="H9" i="12"/>
  <c r="AQ10" i="12"/>
  <c r="GA9" i="12"/>
  <c r="BZ10" i="12"/>
  <c r="BZ9" i="12"/>
  <c r="DI10" i="12"/>
  <c r="DI9" i="12"/>
  <c r="AQ9" i="12"/>
  <c r="ER9" i="12"/>
  <c r="GA10" i="12"/>
  <c r="ER12" i="12"/>
  <c r="BZ11" i="12"/>
  <c r="GA13" i="12"/>
  <c r="GM13" i="12" s="1"/>
  <c r="GJ34" i="12" s="1"/>
  <c r="GP34" i="12" s="1"/>
  <c r="DI11" i="12"/>
  <c r="GA12" i="12"/>
  <c r="GA11" i="12"/>
  <c r="ER11" i="12"/>
  <c r="BZ29" i="2"/>
  <c r="BZ32" i="2"/>
  <c r="BZ30" i="2"/>
  <c r="BZ31" i="2"/>
  <c r="BZ33" i="2"/>
  <c r="BO22" i="2"/>
  <c r="BH25" i="2" s="1"/>
  <c r="BM25" i="2" s="1"/>
  <c r="BB12" i="2"/>
  <c r="BM12" i="2" s="1"/>
  <c r="AF20" i="2"/>
  <c r="AF31" i="2"/>
  <c r="AF32" i="2" s="1"/>
  <c r="Y37" i="2" s="1"/>
  <c r="AD37" i="2" s="1"/>
  <c r="AF9" i="2"/>
  <c r="U13" i="2" s="1"/>
  <c r="AF10" i="2"/>
  <c r="R13" i="2" s="1"/>
  <c r="BB6" i="9" l="1"/>
  <c r="BF6" i="9" s="1"/>
  <c r="AT31" i="9" s="1"/>
  <c r="AW31" i="9" s="1"/>
  <c r="DL32" i="12"/>
  <c r="AU7" i="9"/>
  <c r="BB7" i="9" s="1"/>
  <c r="BF7" i="9" s="1"/>
  <c r="AT32" i="9" s="1"/>
  <c r="GJ10" i="12" s="1"/>
  <c r="GM10" i="12" s="1"/>
  <c r="GJ31" i="12" s="1"/>
  <c r="EU32" i="12"/>
  <c r="CC32" i="12"/>
  <c r="CI11" i="12"/>
  <c r="CL11" i="12" s="1"/>
  <c r="CI32" i="12" s="1"/>
  <c r="CO32" i="12" s="1"/>
  <c r="FA11" i="12"/>
  <c r="FD11" i="12" s="1"/>
  <c r="FA32" i="12" s="1"/>
  <c r="FG32" i="12" s="1"/>
  <c r="Z20" i="9"/>
  <c r="I16" i="10" s="1"/>
  <c r="GD31" i="12" s="1"/>
  <c r="GJ11" i="12"/>
  <c r="GM11" i="12" s="1"/>
  <c r="GJ32" i="12" s="1"/>
  <c r="GP32" i="12" s="1"/>
  <c r="GM12" i="12"/>
  <c r="GJ33" i="12" s="1"/>
  <c r="GP33" i="12" s="1"/>
  <c r="FD12" i="12"/>
  <c r="FA33" i="12" s="1"/>
  <c r="FG33" i="12" s="1"/>
  <c r="DU11" i="12"/>
  <c r="DR32" i="12" s="1"/>
  <c r="CG12" i="2"/>
  <c r="CM12" i="2" s="1"/>
  <c r="CG11" i="2"/>
  <c r="CM11" i="2" s="1"/>
  <c r="CG9" i="2"/>
  <c r="CM9" i="2" s="1"/>
  <c r="AF21" i="2"/>
  <c r="S25" i="2" s="1"/>
  <c r="AD25" i="2" s="1"/>
  <c r="BO19" i="2"/>
  <c r="CF29" i="2"/>
  <c r="AD13" i="2"/>
  <c r="DX32" i="12" l="1"/>
  <c r="DL31" i="12"/>
  <c r="EU31" i="12"/>
  <c r="AT31" i="12"/>
  <c r="CC31" i="12"/>
  <c r="FA10" i="12"/>
  <c r="FD10" i="12" s="1"/>
  <c r="FA31" i="12" s="1"/>
  <c r="AZ10" i="12"/>
  <c r="BC10" i="12" s="1"/>
  <c r="AZ31" i="12" s="1"/>
  <c r="CI10" i="12"/>
  <c r="CL10" i="12" s="1"/>
  <c r="CI31" i="12" s="1"/>
  <c r="CO31" i="12" s="1"/>
  <c r="DR10" i="12"/>
  <c r="DU10" i="12" s="1"/>
  <c r="DR31" i="12" s="1"/>
  <c r="GP31" i="12"/>
  <c r="AW32" i="9"/>
  <c r="O16" i="10" s="1"/>
  <c r="U16" i="10" s="1"/>
  <c r="GJ9" i="12"/>
  <c r="GM9" i="12" s="1"/>
  <c r="GJ30" i="12" s="1"/>
  <c r="GP30" i="12" s="1"/>
  <c r="AZ9" i="12"/>
  <c r="BC9" i="12" s="1"/>
  <c r="AZ30" i="12" s="1"/>
  <c r="BF30" i="12" s="1"/>
  <c r="O15" i="10"/>
  <c r="U15" i="10" s="1"/>
  <c r="DR9" i="12"/>
  <c r="DU9" i="12" s="1"/>
  <c r="DR30" i="12" s="1"/>
  <c r="DX30" i="12" s="1"/>
  <c r="CI9" i="12"/>
  <c r="CL9" i="12" s="1"/>
  <c r="CI30" i="12" s="1"/>
  <c r="CO30" i="12" s="1"/>
  <c r="FA9" i="12"/>
  <c r="FD9" i="12" s="1"/>
  <c r="FA30" i="12" s="1"/>
  <c r="FG30" i="12" s="1"/>
  <c r="Q9" i="12"/>
  <c r="CM13" i="2"/>
  <c r="CE18" i="2" s="1"/>
  <c r="CN18" i="2" s="1"/>
  <c r="CF31" i="2" s="1"/>
  <c r="CG7" i="2"/>
  <c r="CG8" i="2"/>
  <c r="CM8" i="2" s="1"/>
  <c r="AD14" i="2"/>
  <c r="AT36" i="1"/>
  <c r="T9" i="12" l="1"/>
  <c r="Q30" i="12" s="1"/>
  <c r="W30" i="12" s="1"/>
  <c r="BF31" i="12"/>
  <c r="FG31" i="12"/>
  <c r="GG13" i="12"/>
  <c r="DO12" i="12"/>
  <c r="DR26" i="12" s="1"/>
  <c r="DX26" i="12" s="1"/>
  <c r="CF30" i="2"/>
  <c r="DX31" i="12"/>
  <c r="CF32" i="2"/>
  <c r="CL32" i="2" s="1"/>
  <c r="O10" i="10" s="1"/>
  <c r="U10" i="10" s="1"/>
  <c r="CF33" i="2"/>
  <c r="CL33" i="2" s="1"/>
  <c r="O11" i="10" s="1"/>
  <c r="U11" i="10" s="1"/>
  <c r="GG12" i="12"/>
  <c r="EX13" i="12"/>
  <c r="CF34" i="2"/>
  <c r="EX12" i="12"/>
  <c r="CJ7" i="2"/>
  <c r="CJ10" i="2" l="1"/>
  <c r="I12" i="10" s="1" a="1"/>
  <c r="I12" i="10" s="1"/>
  <c r="GD28" i="12" s="1"/>
  <c r="CM7" i="2"/>
  <c r="CM10" i="2" s="1"/>
  <c r="CE17" i="2" s="1"/>
  <c r="I7" i="10" l="1" a="1"/>
  <c r="I7" i="10" s="1"/>
  <c r="I8" i="10" a="1"/>
  <c r="I8" i="10" s="1"/>
  <c r="I9" i="10" a="1"/>
  <c r="I9" i="10" s="1"/>
  <c r="CI17" i="2"/>
  <c r="CN17" i="2" s="1"/>
  <c r="CI34" i="2" l="1"/>
  <c r="CL34" i="2" s="1"/>
  <c r="O12" i="10" s="1"/>
  <c r="U12" i="10" s="1"/>
  <c r="GG14" i="12"/>
  <c r="I22" i="10"/>
  <c r="AX15" i="14" s="1"/>
  <c r="GD25" i="12"/>
  <c r="EU25" i="12"/>
  <c r="GD24" i="12"/>
  <c r="EU24" i="12"/>
  <c r="K23" i="12"/>
  <c r="GD23" i="12"/>
  <c r="EU23" i="12"/>
  <c r="AT23" i="12"/>
  <c r="DL23" i="12"/>
  <c r="CC23" i="12"/>
  <c r="EX10" i="12"/>
  <c r="DO10" i="12"/>
  <c r="DR24" i="12" s="1"/>
  <c r="GG10" i="12"/>
  <c r="CC24" i="12"/>
  <c r="AT24" i="12"/>
  <c r="DL24" i="12"/>
  <c r="DO9" i="12"/>
  <c r="DR23" i="12" s="1"/>
  <c r="GG9" i="12"/>
  <c r="EX9" i="12"/>
  <c r="DO11" i="12"/>
  <c r="DR25" i="12" s="1"/>
  <c r="EX11" i="12"/>
  <c r="GG11" i="12"/>
  <c r="DL25" i="12"/>
  <c r="CC25" i="12"/>
  <c r="CI31" i="2"/>
  <c r="CI30" i="2"/>
  <c r="CI29" i="2"/>
  <c r="CL29" i="2" l="1"/>
  <c r="K9" i="12"/>
  <c r="CC9" i="12"/>
  <c r="AT9" i="12"/>
  <c r="CL30" i="2"/>
  <c r="O8" i="10" s="1"/>
  <c r="U8" i="10" s="1"/>
  <c r="AT10" i="12"/>
  <c r="CC10" i="12"/>
  <c r="CL31" i="2"/>
  <c r="O9" i="10" s="1"/>
  <c r="U9" i="10" s="1"/>
  <c r="CC11" i="12"/>
  <c r="AY9" i="14"/>
  <c r="AS12" i="14" s="1"/>
  <c r="DX23" i="12"/>
  <c r="DX24" i="12"/>
  <c r="DX25" i="12"/>
  <c r="AV7" i="10"/>
  <c r="O27" i="10"/>
  <c r="O7" i="10"/>
  <c r="U7" i="10" s="1"/>
  <c r="AW9" i="12" l="1"/>
  <c r="CF10" i="12"/>
  <c r="CF9" i="12"/>
  <c r="CF11" i="12"/>
  <c r="N9" i="12"/>
  <c r="AW10" i="12"/>
  <c r="BD7" i="10"/>
  <c r="AP10" i="10"/>
  <c r="AS10" i="10" s="1"/>
  <c r="BB10" i="10" s="1"/>
  <c r="GT29" i="12" l="1"/>
  <c r="GP29" i="12"/>
  <c r="FK29" i="12" l="1"/>
  <c r="FG29" i="12"/>
  <c r="CI23" i="12" l="1"/>
  <c r="CO23" i="12" s="1"/>
  <c r="CI24" i="12"/>
  <c r="CO24" i="12" s="1"/>
  <c r="CI25" i="12"/>
  <c r="CO25" i="12" s="1"/>
  <c r="AZ23" i="12" l="1"/>
  <c r="BF23" i="12" s="1"/>
  <c r="AZ24" i="12"/>
  <c r="BF24" i="12" s="1"/>
  <c r="Q23" i="12"/>
  <c r="W23" i="12" s="1"/>
  <c r="FA23" i="12"/>
  <c r="FG23" i="12" s="1"/>
  <c r="FA24" i="12"/>
  <c r="FG24" i="12" s="1"/>
  <c r="FA27" i="12"/>
  <c r="FG27" i="12" s="1"/>
  <c r="FA26" i="12"/>
  <c r="FG26" i="12" s="1"/>
  <c r="FA25" i="12"/>
  <c r="FG25" i="12" s="1"/>
  <c r="GJ23" i="12" l="1"/>
  <c r="GP23" i="12" s="1"/>
  <c r="GJ24" i="12"/>
  <c r="GP24" i="12" s="1"/>
  <c r="GJ26" i="12"/>
  <c r="GP26" i="12" s="1"/>
  <c r="GJ27" i="12"/>
  <c r="GP27" i="12" s="1"/>
  <c r="GJ28" i="12"/>
  <c r="GP28" i="12" s="1"/>
  <c r="GJ25" i="12"/>
  <c r="GP25" i="12" s="1"/>
  <c r="AW33" i="9"/>
  <c r="O17" i="10" s="1"/>
  <c r="U17" i="10" s="1"/>
  <c r="AW35" i="9"/>
  <c r="O19" i="10" s="1"/>
  <c r="U19" i="10" s="1"/>
  <c r="AW34" i="9"/>
  <c r="O18" i="10" s="1"/>
  <c r="U18" i="10" s="1"/>
  <c r="AW36" i="9"/>
  <c r="O20" i="10" s="1"/>
  <c r="U20" i="10" s="1"/>
  <c r="U22" i="10" l="1"/>
  <c r="N19" i="14" s="1"/>
  <c r="W19" i="14" s="1"/>
  <c r="AO9" i="14" s="1"/>
  <c r="AO12" i="14" s="1"/>
  <c r="BH12" i="14" s="1"/>
  <c r="BM12" i="14" s="1"/>
  <c r="AZ8" i="11" l="1"/>
  <c r="AW23" i="14"/>
  <c r="BB23" i="14" s="1"/>
  <c r="BG23" i="14" s="1"/>
  <c r="AZ9" i="11" s="1"/>
  <c r="BB15" i="14"/>
  <c r="BK15" i="14" s="1"/>
  <c r="BB17" i="14"/>
  <c r="BK17" i="14" s="1"/>
  <c r="M26" i="10"/>
  <c r="V26" i="10" s="1"/>
  <c r="F33" i="10" l="1"/>
  <c r="I33" i="10" s="1"/>
  <c r="R33" i="10" s="1"/>
  <c r="AO2" i="14"/>
  <c r="BA26" i="14"/>
  <c r="BL26" i="14" s="1"/>
  <c r="AO28" i="14" s="1"/>
  <c r="AO35" i="14" s="1"/>
  <c r="AR35" i="14" s="1"/>
  <c r="BA35" i="14" s="1"/>
  <c r="BA30" i="14"/>
  <c r="BL30" i="14" s="1"/>
  <c r="AO32" i="14" s="1"/>
  <c r="AO37" i="14" s="1"/>
  <c r="AR37" i="14" s="1"/>
  <c r="BA37" i="14" s="1"/>
  <c r="AQ28" i="11"/>
  <c r="AW21" i="11" l="1"/>
  <c r="AS23" i="11" s="1"/>
  <c r="CA11" i="11"/>
  <c r="CA12" i="11"/>
  <c r="AP23" i="11" l="1"/>
  <c r="CD12" i="11" s="1"/>
  <c r="BY14" i="11" s="1"/>
  <c r="BY16" i="11" s="1"/>
  <c r="CG11" i="11"/>
  <c r="CC13" i="11" s="1"/>
  <c r="CC15" i="11" s="1"/>
  <c r="CG12" i="11"/>
  <c r="CC14" i="11" s="1"/>
  <c r="CC16" i="11" s="1"/>
  <c r="AW28" i="11"/>
  <c r="AT30" i="11" s="1"/>
  <c r="AT28" i="11" l="1"/>
  <c r="AP30" i="11" s="1"/>
  <c r="CL34" i="11" s="1"/>
  <c r="CD11" i="11"/>
  <c r="BY13" i="11" s="1"/>
  <c r="BY15" i="11" s="1"/>
  <c r="CX35" i="11" s="1"/>
  <c r="DU36" i="12" l="1"/>
  <c r="CU35" i="11"/>
  <c r="DR36" i="12" s="1"/>
  <c r="CX34" i="11"/>
  <c r="CU34" i="11" s="1"/>
  <c r="CI36" i="12" s="1"/>
  <c r="CX37" i="11"/>
  <c r="CL35" i="11"/>
  <c r="CR35" i="11" s="1"/>
  <c r="DO36" i="12" s="1"/>
  <c r="CX32" i="11"/>
  <c r="CU32" i="11" s="1"/>
  <c r="Q36" i="12" s="1"/>
  <c r="CX33" i="11"/>
  <c r="CU33" i="11" s="1"/>
  <c r="AZ36" i="12" s="1"/>
  <c r="CL36" i="11"/>
  <c r="CR36" i="11" s="1"/>
  <c r="EX36" i="12" s="1"/>
  <c r="CL33" i="11"/>
  <c r="CO33" i="11" s="1"/>
  <c r="AT36" i="12" s="1"/>
  <c r="CL37" i="11"/>
  <c r="CO37" i="11" s="1"/>
  <c r="GD36" i="12" s="1"/>
  <c r="CL32" i="11"/>
  <c r="CO32" i="11" s="1"/>
  <c r="K36" i="12" s="1"/>
  <c r="CO34" i="11"/>
  <c r="CC36" i="12" s="1"/>
  <c r="CR34" i="11"/>
  <c r="CF36" i="12" s="1"/>
  <c r="CL36" i="12" l="1"/>
  <c r="CO36" i="11"/>
  <c r="EU36" i="12" s="1"/>
  <c r="CU37" i="11"/>
  <c r="GJ36" i="12" s="1"/>
  <c r="GP36" i="12" s="1"/>
  <c r="GP37" i="12" s="1"/>
  <c r="P15" i="13" s="1"/>
  <c r="GM36" i="12"/>
  <c r="CO35" i="11"/>
  <c r="DL36" i="12" s="1"/>
  <c r="DL37" i="12" s="1"/>
  <c r="J13" i="13" s="1"/>
  <c r="G36" i="13" s="1"/>
  <c r="BC36" i="12"/>
  <c r="T36" i="12"/>
  <c r="CR32" i="11"/>
  <c r="N36" i="12" s="1"/>
  <c r="N37" i="12" s="1"/>
  <c r="M10" i="13" s="1"/>
  <c r="AP13" i="13" s="1"/>
  <c r="AS13" i="13" s="1"/>
  <c r="AX13" i="13" s="1"/>
  <c r="BC13" i="13" s="1"/>
  <c r="CR33" i="11"/>
  <c r="AW36" i="12" s="1"/>
  <c r="AW37" i="12" s="1"/>
  <c r="M11" i="13" s="1"/>
  <c r="AP14" i="13" s="1"/>
  <c r="AS14" i="13" s="1"/>
  <c r="AX14" i="13" s="1"/>
  <c r="BC14" i="13" s="1"/>
  <c r="CR37" i="11"/>
  <c r="GG36" i="12" s="1"/>
  <c r="GD37" i="12"/>
  <c r="J15" i="13" s="1"/>
  <c r="G38" i="13" s="1"/>
  <c r="CF37" i="12"/>
  <c r="M12" i="13" s="1"/>
  <c r="AP15" i="13" s="1"/>
  <c r="AS15" i="13" s="1"/>
  <c r="AX15" i="13" s="1"/>
  <c r="BC15" i="13" s="1"/>
  <c r="CS36" i="12"/>
  <c r="CS37" i="12" s="1"/>
  <c r="S12" i="13" s="1"/>
  <c r="CO36" i="12"/>
  <c r="CO37" i="12" s="1"/>
  <c r="P12" i="13" s="1"/>
  <c r="CC37" i="12"/>
  <c r="J12" i="13" s="1"/>
  <c r="G35" i="13" s="1"/>
  <c r="EX37" i="12"/>
  <c r="M14" i="13" s="1"/>
  <c r="AP17" i="13" s="1"/>
  <c r="AS17" i="13" s="1"/>
  <c r="AX17" i="13" s="1"/>
  <c r="BC17" i="13" s="1"/>
  <c r="FK36" i="12"/>
  <c r="FK37" i="12" s="1"/>
  <c r="S14" i="13" s="1"/>
  <c r="BF36" i="12"/>
  <c r="BF37" i="12" s="1"/>
  <c r="P11" i="13" s="1"/>
  <c r="AT37" i="12"/>
  <c r="J11" i="13" s="1"/>
  <c r="G34" i="13" s="1"/>
  <c r="DO37" i="12"/>
  <c r="M13" i="13" s="1"/>
  <c r="AP16" i="13" s="1"/>
  <c r="AS16" i="13" s="1"/>
  <c r="AX16" i="13" s="1"/>
  <c r="BC16" i="13" s="1"/>
  <c r="EB36" i="12"/>
  <c r="EB37" i="12" s="1"/>
  <c r="S13" i="13" s="1"/>
  <c r="K37" i="12"/>
  <c r="J10" i="13" s="1"/>
  <c r="G33" i="13" s="1"/>
  <c r="W36" i="12"/>
  <c r="W37" i="12" s="1"/>
  <c r="P10" i="13" s="1"/>
  <c r="EU37" i="12"/>
  <c r="J14" i="13" s="1"/>
  <c r="G37" i="13" s="1"/>
  <c r="FG36" i="12"/>
  <c r="FG37" i="12" s="1"/>
  <c r="P14" i="13" s="1"/>
  <c r="DX36" i="12" l="1"/>
  <c r="DX37" i="12" s="1"/>
  <c r="P13" i="13" s="1"/>
  <c r="AA36" i="12"/>
  <c r="AA37" i="12" s="1"/>
  <c r="S10" i="13" s="1"/>
  <c r="V10" i="13" s="1"/>
  <c r="J33" i="13" s="1"/>
  <c r="M33" i="13" s="1"/>
  <c r="T33" i="13" s="1"/>
  <c r="GT36" i="12"/>
  <c r="GT37" i="12" s="1"/>
  <c r="S15" i="13" s="1"/>
  <c r="V15" i="13" s="1"/>
  <c r="J38" i="13" s="1"/>
  <c r="M38" i="13" s="1"/>
  <c r="T38" i="13" s="1"/>
  <c r="GG37" i="12"/>
  <c r="M15" i="13" s="1"/>
  <c r="AP18" i="13" s="1"/>
  <c r="AS18" i="13" s="1"/>
  <c r="AX18" i="13" s="1"/>
  <c r="BC18" i="13" s="1"/>
  <c r="BJ36" i="12"/>
  <c r="BJ37" i="12" s="1"/>
  <c r="S11" i="13" s="1"/>
  <c r="V11" i="13" s="1"/>
  <c r="J34" i="13" s="1"/>
  <c r="P34" i="13" s="1"/>
  <c r="W34" i="13" s="1"/>
  <c r="V14" i="13"/>
  <c r="J37" i="13" s="1"/>
  <c r="M37" i="13" s="1"/>
  <c r="T37" i="13" s="1"/>
  <c r="V13" i="13"/>
  <c r="J36" i="13" s="1"/>
  <c r="M36" i="13" s="1"/>
  <c r="T36" i="13" s="1"/>
  <c r="V12" i="13"/>
  <c r="J35" i="13" s="1"/>
  <c r="P35" i="13" s="1"/>
  <c r="W35" i="13" s="1"/>
  <c r="P37" i="13" l="1"/>
  <c r="W37" i="13" s="1"/>
  <c r="AD37" i="13" s="1"/>
  <c r="P33" i="13"/>
  <c r="W33" i="13" s="1"/>
  <c r="AA33" i="13" s="1"/>
  <c r="P36" i="13"/>
  <c r="W36" i="13" s="1"/>
  <c r="AD36" i="13" s="1"/>
  <c r="P38" i="13"/>
  <c r="W38" i="13" s="1"/>
  <c r="AA38" i="13" s="1"/>
  <c r="M34" i="13"/>
  <c r="T34" i="13" s="1"/>
  <c r="AD34" i="13" s="1"/>
  <c r="M35" i="13"/>
  <c r="T35" i="13" s="1"/>
  <c r="AA37" i="13" l="1"/>
  <c r="AD33" i="13"/>
  <c r="AA36" i="13"/>
  <c r="AA34" i="13"/>
  <c r="AD38" i="13"/>
  <c r="AD35" i="13"/>
  <c r="AA35" i="1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<sst xmlns="http://schemas.openxmlformats.org/spreadsheetml/2006/main" count="1956" uniqueCount="528">
  <si>
    <t>1. 設計条件</t>
    <rPh sb="3" eb="5">
      <t>セッケイ</t>
    </rPh>
    <rPh sb="5" eb="7">
      <t>ジョウケン</t>
    </rPh>
    <phoneticPr fontId="1"/>
  </si>
  <si>
    <t>1-1. 形状寸法</t>
    <rPh sb="5" eb="7">
      <t>ケイジョウ</t>
    </rPh>
    <rPh sb="7" eb="9">
      <t>スンポウ</t>
    </rPh>
    <phoneticPr fontId="1"/>
  </si>
  <si>
    <t>=</t>
    <phoneticPr fontId="1"/>
  </si>
  <si>
    <t>m</t>
    <phoneticPr fontId="1"/>
  </si>
  <si>
    <t>天端幅</t>
    <rPh sb="0" eb="1">
      <t>テン</t>
    </rPh>
    <rPh sb="1" eb="2">
      <t>ハシ</t>
    </rPh>
    <rPh sb="2" eb="3">
      <t>ハバ</t>
    </rPh>
    <phoneticPr fontId="1"/>
  </si>
  <si>
    <t>c</t>
    <phoneticPr fontId="1"/>
  </si>
  <si>
    <t>：</t>
    <phoneticPr fontId="1"/>
  </si>
  <si>
    <t>1-2. コンクリート規格</t>
    <rPh sb="11" eb="13">
      <t>キカク</t>
    </rPh>
    <phoneticPr fontId="1"/>
  </si>
  <si>
    <t>設計基準強度</t>
    <rPh sb="0" eb="2">
      <t>セッケイ</t>
    </rPh>
    <rPh sb="2" eb="4">
      <t>キジュン</t>
    </rPh>
    <rPh sb="4" eb="6">
      <t>キョウド</t>
    </rPh>
    <phoneticPr fontId="1"/>
  </si>
  <si>
    <r>
      <t>σ</t>
    </r>
    <r>
      <rPr>
        <vertAlign val="subscript"/>
        <sz val="11"/>
        <color theme="1"/>
        <rFont val="Times New Roman"/>
        <family val="1"/>
      </rPr>
      <t>ck</t>
    </r>
    <phoneticPr fontId="1"/>
  </si>
  <si>
    <t>kN/m²</t>
    <phoneticPr fontId="1"/>
  </si>
  <si>
    <t>単位体積重量</t>
    <rPh sb="0" eb="2">
      <t>タンイ</t>
    </rPh>
    <rPh sb="2" eb="4">
      <t>タイセキ</t>
    </rPh>
    <rPh sb="4" eb="6">
      <t>ジュウリョウ</t>
    </rPh>
    <phoneticPr fontId="1"/>
  </si>
  <si>
    <t>kN/m³</t>
    <phoneticPr fontId="1"/>
  </si>
  <si>
    <t>1-3. 裏込め材料</t>
    <rPh sb="5" eb="7">
      <t>ウラコ</t>
    </rPh>
    <rPh sb="8" eb="10">
      <t>ザイリョウ</t>
    </rPh>
    <phoneticPr fontId="1"/>
  </si>
  <si>
    <t>裏込め土</t>
    <rPh sb="0" eb="2">
      <t>ウラコ</t>
    </rPh>
    <rPh sb="3" eb="4">
      <t>ツチ</t>
    </rPh>
    <phoneticPr fontId="1"/>
  </si>
  <si>
    <t>せん断抵抗角</t>
    <rPh sb="2" eb="3">
      <t>ダン</t>
    </rPh>
    <rPh sb="3" eb="5">
      <t>テイコウ</t>
    </rPh>
    <rPh sb="5" eb="6">
      <t>カク</t>
    </rPh>
    <phoneticPr fontId="1"/>
  </si>
  <si>
    <t>φ</t>
    <phoneticPr fontId="1"/>
  </si>
  <si>
    <r>
      <t>γ</t>
    </r>
    <r>
      <rPr>
        <vertAlign val="subscript"/>
        <sz val="11"/>
        <color theme="1"/>
        <rFont val="Times New Roman"/>
        <family val="1"/>
      </rPr>
      <t>s</t>
    </r>
    <phoneticPr fontId="1"/>
  </si>
  <si>
    <t>°</t>
    <phoneticPr fontId="1"/>
  </si>
  <si>
    <t>粘着力</t>
    <rPh sb="0" eb="2">
      <t>ネンチャク</t>
    </rPh>
    <rPh sb="2" eb="3">
      <t>チカラ</t>
    </rPh>
    <phoneticPr fontId="1"/>
  </si>
  <si>
    <t>底面と地盤の摩擦係数</t>
    <rPh sb="0" eb="2">
      <t>テイメン</t>
    </rPh>
    <rPh sb="3" eb="5">
      <t>ジバン</t>
    </rPh>
    <rPh sb="6" eb="8">
      <t>マサツ</t>
    </rPh>
    <rPh sb="8" eb="10">
      <t>ケイスウ</t>
    </rPh>
    <phoneticPr fontId="5"/>
  </si>
  <si>
    <t>粘着力</t>
    <rPh sb="0" eb="2">
      <t>ネンチャク</t>
    </rPh>
    <rPh sb="2" eb="3">
      <t>リョク</t>
    </rPh>
    <phoneticPr fontId="5"/>
  </si>
  <si>
    <t>許容鉛直支持力度（常時）</t>
    <rPh sb="0" eb="2">
      <t>キョヨウ</t>
    </rPh>
    <rPh sb="2" eb="4">
      <t>エンチョク</t>
    </rPh>
    <rPh sb="4" eb="8">
      <t>シジリョクド</t>
    </rPh>
    <rPh sb="9" eb="11">
      <t>ジョウジ</t>
    </rPh>
    <phoneticPr fontId="5"/>
  </si>
  <si>
    <t>μ</t>
    <phoneticPr fontId="1"/>
  </si>
  <si>
    <r>
      <rPr>
        <i/>
        <sz val="11"/>
        <color theme="1"/>
        <rFont val="Times New Roman"/>
        <family val="1"/>
      </rPr>
      <t>q</t>
    </r>
    <r>
      <rPr>
        <vertAlign val="subscript"/>
        <sz val="11"/>
        <color theme="1"/>
        <rFont val="Times New Roman"/>
        <family val="1"/>
      </rPr>
      <t>a</t>
    </r>
    <phoneticPr fontId="1"/>
  </si>
  <si>
    <t>1-5. 上載荷重と地下水位</t>
    <rPh sb="10" eb="14">
      <t>チカスイイ</t>
    </rPh>
    <phoneticPr fontId="5"/>
  </si>
  <si>
    <t>上載荷重</t>
    <phoneticPr fontId="5"/>
  </si>
  <si>
    <t>q</t>
    <phoneticPr fontId="1"/>
  </si>
  <si>
    <t>なし</t>
    <phoneticPr fontId="1"/>
  </si>
  <si>
    <t>常時</t>
    <rPh sb="0" eb="2">
      <t>ジョウジ</t>
    </rPh>
    <phoneticPr fontId="1"/>
  </si>
  <si>
    <t>転倒に対する安定条件</t>
    <rPh sb="0" eb="2">
      <t>テントウ</t>
    </rPh>
    <rPh sb="3" eb="4">
      <t>タイ</t>
    </rPh>
    <rPh sb="6" eb="8">
      <t>アンテイ</t>
    </rPh>
    <rPh sb="8" eb="10">
      <t>ジョウケン</t>
    </rPh>
    <phoneticPr fontId="1"/>
  </si>
  <si>
    <t>滑動に対する安全率</t>
    <rPh sb="0" eb="2">
      <t>カツドウ</t>
    </rPh>
    <rPh sb="3" eb="4">
      <t>タイ</t>
    </rPh>
    <rPh sb="6" eb="9">
      <t>アンゼンリツ</t>
    </rPh>
    <phoneticPr fontId="1"/>
  </si>
  <si>
    <t>許容鉛直支持力度</t>
    <rPh sb="0" eb="2">
      <t>キョヨウ</t>
    </rPh>
    <rPh sb="2" eb="4">
      <t>エンチョク</t>
    </rPh>
    <rPh sb="4" eb="7">
      <t>シジリョク</t>
    </rPh>
    <rPh sb="7" eb="8">
      <t>ド</t>
    </rPh>
    <phoneticPr fontId="1"/>
  </si>
  <si>
    <t>kN/m²</t>
    <phoneticPr fontId="5"/>
  </si>
  <si>
    <t>H</t>
    <phoneticPr fontId="1"/>
  </si>
  <si>
    <t>B</t>
    <phoneticPr fontId="1"/>
  </si>
  <si>
    <t>b</t>
    <phoneticPr fontId="1"/>
  </si>
  <si>
    <r>
      <t>b</t>
    </r>
    <r>
      <rPr>
        <sz val="11"/>
        <color theme="1"/>
        <rFont val="Times New Roman"/>
        <family val="1"/>
      </rPr>
      <t>₁</t>
    </r>
    <phoneticPr fontId="1"/>
  </si>
  <si>
    <t>面積</t>
    <rPh sb="0" eb="2">
      <t>メンセキ</t>
    </rPh>
    <phoneticPr fontId="1"/>
  </si>
  <si>
    <t>A</t>
    <phoneticPr fontId="1"/>
  </si>
  <si>
    <r>
      <t>x</t>
    </r>
    <r>
      <rPr>
        <vertAlign val="subscript"/>
        <sz val="11"/>
        <color theme="1"/>
        <rFont val="Times New Roman"/>
        <family val="1"/>
      </rPr>
      <t>G</t>
    </r>
    <phoneticPr fontId="1"/>
  </si>
  <si>
    <t>(</t>
    <phoneticPr fontId="1"/>
  </si>
  <si>
    <t>)</t>
    <phoneticPr fontId="1"/>
  </si>
  <si>
    <t>×</t>
    <phoneticPr fontId="1"/>
  </si>
  <si>
    <t>kN/m</t>
    <phoneticPr fontId="1"/>
  </si>
  <si>
    <t>主働土圧は、試行くさび法によって算出する。（H24道擁p100）</t>
    <rPh sb="0" eb="2">
      <t>シュドウ</t>
    </rPh>
    <rPh sb="2" eb="4">
      <t>ドアツ</t>
    </rPh>
    <rPh sb="6" eb="8">
      <t>シコウ</t>
    </rPh>
    <rPh sb="11" eb="12">
      <t>ホウ</t>
    </rPh>
    <rPh sb="16" eb="18">
      <t>サンシュツ</t>
    </rPh>
    <rPh sb="25" eb="26">
      <t>ミチ</t>
    </rPh>
    <rPh sb="26" eb="27">
      <t>ヨウ</t>
    </rPh>
    <phoneticPr fontId="1"/>
  </si>
  <si>
    <t>P</t>
    <phoneticPr fontId="1"/>
  </si>
  <si>
    <t>W</t>
    <phoneticPr fontId="1"/>
  </si>
  <si>
    <t>・</t>
    <phoneticPr fontId="1"/>
  </si>
  <si>
    <t>+</t>
    <phoneticPr fontId="1"/>
  </si>
  <si>
    <t>ー</t>
    <phoneticPr fontId="1"/>
  </si>
  <si>
    <t>tan α</t>
    <phoneticPr fontId="1"/>
  </si>
  <si>
    <t>ここに</t>
    <phoneticPr fontId="1"/>
  </si>
  <si>
    <t>主働土圧合力</t>
    <rPh sb="0" eb="2">
      <t>シュドウ</t>
    </rPh>
    <rPh sb="2" eb="4">
      <t>ドアツ</t>
    </rPh>
    <rPh sb="4" eb="6">
      <t>ゴウリョク</t>
    </rPh>
    <phoneticPr fontId="1"/>
  </si>
  <si>
    <t>土くさび重量（載荷重を含む）</t>
    <rPh sb="0" eb="1">
      <t>ツチ</t>
    </rPh>
    <rPh sb="4" eb="6">
      <t>ジュウリョウ</t>
    </rPh>
    <rPh sb="7" eb="8">
      <t>ノ</t>
    </rPh>
    <rPh sb="8" eb="10">
      <t>カジュウ</t>
    </rPh>
    <rPh sb="11" eb="12">
      <t>フク</t>
    </rPh>
    <phoneticPr fontId="1"/>
  </si>
  <si>
    <t>α</t>
    <phoneticPr fontId="1"/>
  </si>
  <si>
    <t>仮定したすべり面と水平面のなす角</t>
    <rPh sb="0" eb="2">
      <t>カテイ</t>
    </rPh>
    <rPh sb="7" eb="8">
      <t>メン</t>
    </rPh>
    <rPh sb="9" eb="11">
      <t>スイヘイ</t>
    </rPh>
    <rPh sb="11" eb="12">
      <t>メン</t>
    </rPh>
    <rPh sb="15" eb="16">
      <t>カク</t>
    </rPh>
    <phoneticPr fontId="1"/>
  </si>
  <si>
    <t>裏込め土のせん断抵抗角</t>
    <rPh sb="0" eb="2">
      <t>ウラコ</t>
    </rPh>
    <rPh sb="3" eb="4">
      <t>ツチ</t>
    </rPh>
    <rPh sb="7" eb="8">
      <t>ダン</t>
    </rPh>
    <rPh sb="8" eb="11">
      <t>テイコウカク</t>
    </rPh>
    <phoneticPr fontId="1"/>
  </si>
  <si>
    <t>壁背面と鉛直面のなす角</t>
    <rPh sb="0" eb="1">
      <t>カベ</t>
    </rPh>
    <rPh sb="1" eb="3">
      <t>ハイメン</t>
    </rPh>
    <rPh sb="4" eb="7">
      <t>エンチョクメン</t>
    </rPh>
    <rPh sb="10" eb="11">
      <t>カク</t>
    </rPh>
    <phoneticPr fontId="1"/>
  </si>
  <si>
    <t>δ</t>
    <phoneticPr fontId="1"/>
  </si>
  <si>
    <t>壁面摩擦角</t>
    <rPh sb="0" eb="2">
      <t>ヘキメン</t>
    </rPh>
    <rPh sb="2" eb="5">
      <t>マサツカク</t>
    </rPh>
    <phoneticPr fontId="1"/>
  </si>
  <si>
    <t>tan ω</t>
    <phoneticPr fontId="1"/>
  </si>
  <si>
    <t>よって、</t>
    <phoneticPr fontId="1"/>
  </si>
  <si>
    <t>sin(</t>
    <phoneticPr fontId="1"/>
  </si>
  <si>
    <t>cos(</t>
    <phoneticPr fontId="1"/>
  </si>
  <si>
    <t>tan</t>
    <phoneticPr fontId="1"/>
  </si>
  <si>
    <t>）×</t>
    <phoneticPr fontId="1"/>
  </si>
  <si>
    <t>ω</t>
    <phoneticPr fontId="1"/>
  </si>
  <si>
    <t>最大の主導土圧合力</t>
    <rPh sb="0" eb="2">
      <t>サイダイ</t>
    </rPh>
    <rPh sb="3" eb="5">
      <t>シュドウ</t>
    </rPh>
    <rPh sb="5" eb="7">
      <t>ドアツ</t>
    </rPh>
    <rPh sb="7" eb="9">
      <t>ゴウリョク</t>
    </rPh>
    <phoneticPr fontId="1"/>
  </si>
  <si>
    <t>水平成分</t>
  </si>
  <si>
    <r>
      <t>P</t>
    </r>
    <r>
      <rPr>
        <i/>
        <vertAlign val="subscript"/>
        <sz val="11"/>
        <color rgb="FF000000"/>
        <rFont val="Times New Roman"/>
        <family val="1"/>
      </rPr>
      <t>H</t>
    </r>
    <phoneticPr fontId="1"/>
  </si>
  <si>
    <t>× cos(</t>
  </si>
  <si>
    <t>+</t>
  </si>
  <si>
    <t>)</t>
  </si>
  <si>
    <t>kN/m</t>
    <phoneticPr fontId="5"/>
  </si>
  <si>
    <t>鉛直成分</t>
  </si>
  <si>
    <r>
      <t>P</t>
    </r>
    <r>
      <rPr>
        <i/>
        <vertAlign val="subscript"/>
        <sz val="11"/>
        <color rgb="FF000000"/>
        <rFont val="Times New Roman"/>
        <family val="1"/>
      </rPr>
      <t>V</t>
    </r>
    <phoneticPr fontId="1"/>
  </si>
  <si>
    <t>× sin(</t>
  </si>
  <si>
    <t>cos(α+δ)</t>
    <phoneticPr fontId="1"/>
  </si>
  <si>
    <t>sin(α+δ)</t>
    <phoneticPr fontId="1"/>
  </si>
  <si>
    <t>sin(ω－φ)</t>
    <phoneticPr fontId="1"/>
  </si>
  <si>
    <t>cos(ω－φ－α－δ)</t>
    <phoneticPr fontId="1"/>
  </si>
  <si>
    <t>－</t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</si>
  <si>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s</t>
    </r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</si>
  <si>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c</t>
    </r>
    <phoneticPr fontId="1"/>
  </si>
  <si>
    <r>
      <t>tan</t>
    </r>
    <r>
      <rPr>
        <vertAlign val="superscript"/>
        <sz val="11"/>
        <color theme="1"/>
        <rFont val="HGP明朝B"/>
        <family val="1"/>
        <charset val="128"/>
      </rPr>
      <t>-1</t>
    </r>
    <phoneticPr fontId="1"/>
  </si>
  <si>
    <r>
      <rPr>
        <sz val="11"/>
        <color theme="1"/>
        <rFont val="游ゴシック"/>
        <family val="2"/>
        <charset val="128"/>
      </rPr>
      <t>ー</t>
    </r>
    <phoneticPr fontId="1"/>
  </si>
  <si>
    <t>作用位置</t>
  </si>
  <si>
    <r>
      <rPr>
        <i/>
        <sz val="11"/>
        <color rgb="FF000000"/>
        <rFont val="Times New Roman"/>
        <family val="1"/>
      </rPr>
      <t>y</t>
    </r>
    <r>
      <rPr>
        <i/>
        <vertAlign val="subscript"/>
        <sz val="11"/>
        <color rgb="FF000000"/>
        <rFont val="Times New Roman"/>
        <family val="1"/>
      </rPr>
      <t>A</t>
    </r>
  </si>
  <si>
    <t>H</t>
  </si>
  <si>
    <t>/</t>
  </si>
  <si>
    <t>m</t>
    <phoneticPr fontId="5"/>
  </si>
  <si>
    <r>
      <t>x</t>
    </r>
    <r>
      <rPr>
        <i/>
        <vertAlign val="subscript"/>
        <sz val="11"/>
        <color rgb="FF000000"/>
        <rFont val="Times New Roman"/>
        <family val="1"/>
      </rPr>
      <t>A</t>
    </r>
    <phoneticPr fontId="1"/>
  </si>
  <si>
    <r>
      <t>y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</si>
  <si>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鉛直力</t>
  </si>
  <si>
    <t>水平力</t>
  </si>
  <si>
    <t>作用位置(アーム長)</t>
    <rPh sb="8" eb="9">
      <t>チョウ</t>
    </rPh>
    <phoneticPr fontId="5"/>
  </si>
  <si>
    <t>モーメント</t>
  </si>
  <si>
    <t>V</t>
    <phoneticPr fontId="5"/>
  </si>
  <si>
    <t>x</t>
  </si>
  <si>
    <t>y</t>
  </si>
  <si>
    <t>(kN/m)</t>
    <phoneticPr fontId="5"/>
  </si>
  <si>
    <t>(m)</t>
  </si>
  <si>
    <t>自重</t>
  </si>
  <si>
    <t>土圧</t>
  </si>
  <si>
    <t>合計</t>
  </si>
  <si>
    <r>
      <rPr>
        <sz val="11"/>
        <color theme="1"/>
        <rFont val="游ゴシック"/>
        <family val="2"/>
        <charset val="128"/>
      </rPr>
      <t>ー</t>
    </r>
  </si>
  <si>
    <t>=</t>
  </si>
  <si>
    <t>m</t>
  </si>
  <si>
    <t>d</t>
  </si>
  <si>
    <r>
      <t>ΣM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 xml:space="preserve"> </t>
    </r>
    <r>
      <rPr>
        <i/>
        <sz val="11"/>
        <color theme="1"/>
        <rFont val="ＭＳ 明朝"/>
        <family val="1"/>
        <charset val="128"/>
      </rPr>
      <t>－</t>
    </r>
    <r>
      <rPr>
        <i/>
        <sz val="11"/>
        <color theme="1"/>
        <rFont val="Times New Roman"/>
        <family val="1"/>
      </rPr>
      <t xml:space="preserve"> ΣM</t>
    </r>
    <r>
      <rPr>
        <i/>
        <vertAlign val="subscript"/>
        <sz val="11"/>
        <color theme="1"/>
        <rFont val="Times New Roman"/>
        <family val="1"/>
      </rPr>
      <t>y</t>
    </r>
    <phoneticPr fontId="5"/>
  </si>
  <si>
    <t>ー</t>
  </si>
  <si>
    <t>よって、</t>
    <phoneticPr fontId="5"/>
  </si>
  <si>
    <r>
      <rPr>
        <i/>
        <sz val="11"/>
        <color rgb="FF000000"/>
        <rFont val="Times New Roman"/>
        <family val="1"/>
      </rPr>
      <t>F</t>
    </r>
    <r>
      <rPr>
        <i/>
        <vertAlign val="subscript"/>
        <sz val="11"/>
        <color rgb="FF000000"/>
        <rFont val="Times New Roman"/>
        <family val="1"/>
      </rPr>
      <t>s</t>
    </r>
  </si>
  <si>
    <t>・</t>
    <phoneticPr fontId="5"/>
  </si>
  <si>
    <t>μ</t>
  </si>
  <si>
    <t>滑動安全率</t>
  </si>
  <si>
    <t>許容支持力度</t>
    <rPh sb="0" eb="2">
      <t>キョヨウ</t>
    </rPh>
    <rPh sb="2" eb="6">
      <t>シジリョクド</t>
    </rPh>
    <phoneticPr fontId="5"/>
  </si>
  <si>
    <t>主働土圧合力が最大となる角度</t>
    <rPh sb="0" eb="2">
      <t>シュドウ</t>
    </rPh>
    <rPh sb="2" eb="4">
      <t>ドアツ</t>
    </rPh>
    <rPh sb="4" eb="6">
      <t>ゴウリョク</t>
    </rPh>
    <rPh sb="7" eb="9">
      <t>サイダイ</t>
    </rPh>
    <rPh sb="12" eb="14">
      <t>カクド</t>
    </rPh>
    <phoneticPr fontId="1"/>
  </si>
  <si>
    <t>H24道擁p66</t>
    <rPh sb="3" eb="4">
      <t>ミチ</t>
    </rPh>
    <rPh sb="4" eb="5">
      <t>ヨウ</t>
    </rPh>
    <phoneticPr fontId="5"/>
  </si>
  <si>
    <t>H24道擁p70</t>
    <rPh sb="3" eb="4">
      <t>ミチ</t>
    </rPh>
    <rPh sb="4" eb="5">
      <t>ヨウ</t>
    </rPh>
    <phoneticPr fontId="5"/>
  </si>
  <si>
    <t>H24道擁p68,69</t>
    <rPh sb="3" eb="4">
      <t>ミチ</t>
    </rPh>
    <rPh sb="4" eb="5">
      <t>ヨウ</t>
    </rPh>
    <phoneticPr fontId="5"/>
  </si>
  <si>
    <t>H24道擁p53</t>
    <rPh sb="3" eb="4">
      <t>ミチ</t>
    </rPh>
    <rPh sb="4" eb="5">
      <t>ヨウ</t>
    </rPh>
    <phoneticPr fontId="5"/>
  </si>
  <si>
    <t>1-7. 重要度区分と要求性能</t>
    <rPh sb="11" eb="13">
      <t>ヨウキュウ</t>
    </rPh>
    <rPh sb="13" eb="15">
      <t>セイノウ</t>
    </rPh>
    <phoneticPr fontId="5"/>
  </si>
  <si>
    <t>重要度</t>
    <rPh sb="0" eb="3">
      <t>ジュウヨウド</t>
    </rPh>
    <phoneticPr fontId="5"/>
  </si>
  <si>
    <t>H24道擁p42</t>
    <rPh sb="3" eb="4">
      <t>ミチ</t>
    </rPh>
    <rPh sb="4" eb="5">
      <t>ヨウ</t>
    </rPh>
    <phoneticPr fontId="5"/>
  </si>
  <si>
    <t>常時の作用</t>
  </si>
  <si>
    <t>性能１</t>
  </si>
  <si>
    <t>H24道擁p44</t>
    <rPh sb="3" eb="4">
      <t>ミチ</t>
    </rPh>
    <rPh sb="4" eb="5">
      <t>ヨウ</t>
    </rPh>
    <phoneticPr fontId="5"/>
  </si>
  <si>
    <t>降雨の作用</t>
    <rPh sb="0" eb="2">
      <t>コウウ</t>
    </rPh>
    <phoneticPr fontId="5"/>
  </si>
  <si>
    <t>レベル１地震動の作用</t>
  </si>
  <si>
    <t>性能２</t>
  </si>
  <si>
    <t>レベル２地震動の作用</t>
  </si>
  <si>
    <t>1-8. 設計方法と照査方法</t>
    <rPh sb="5" eb="7">
      <t>セッケイ</t>
    </rPh>
    <rPh sb="7" eb="9">
      <t>ホウホウ</t>
    </rPh>
    <rPh sb="10" eb="12">
      <t>ショウサ</t>
    </rPh>
    <rPh sb="12" eb="14">
      <t>ホウホウ</t>
    </rPh>
    <phoneticPr fontId="5"/>
  </si>
  <si>
    <t>設計方法</t>
    <rPh sb="0" eb="2">
      <t>セッケイ</t>
    </rPh>
    <rPh sb="2" eb="4">
      <t>ホウホウ</t>
    </rPh>
    <phoneticPr fontId="5"/>
  </si>
  <si>
    <t>H24道擁p88</t>
    <rPh sb="3" eb="4">
      <t>ミチ</t>
    </rPh>
    <rPh sb="4" eb="5">
      <t>ヨウ</t>
    </rPh>
    <phoneticPr fontId="5"/>
  </si>
  <si>
    <t>照査方法</t>
    <rPh sb="0" eb="2">
      <t>ショウサ</t>
    </rPh>
    <rPh sb="2" eb="4">
      <t>ホウホウ</t>
    </rPh>
    <phoneticPr fontId="5"/>
  </si>
  <si>
    <t>常時の作用で照査</t>
    <rPh sb="6" eb="8">
      <t>ショウサ</t>
    </rPh>
    <phoneticPr fontId="5"/>
  </si>
  <si>
    <t>要</t>
    <phoneticPr fontId="5"/>
  </si>
  <si>
    <t>降雨の作用で照査</t>
    <rPh sb="0" eb="2">
      <t>コウウ</t>
    </rPh>
    <rPh sb="6" eb="8">
      <t>ショウサ</t>
    </rPh>
    <phoneticPr fontId="5"/>
  </si>
  <si>
    <t>不要</t>
    <phoneticPr fontId="5"/>
  </si>
  <si>
    <t>H24道擁p49,88</t>
    <rPh sb="3" eb="4">
      <t>ミチ</t>
    </rPh>
    <rPh sb="4" eb="5">
      <t>ヨウ</t>
    </rPh>
    <phoneticPr fontId="5"/>
  </si>
  <si>
    <r>
      <t>レベル１地震時の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h</t>
    </r>
    <r>
      <rPr>
        <sz val="11"/>
        <color theme="1"/>
        <rFont val="游ゴシック"/>
        <family val="2"/>
        <charset val="128"/>
        <scheme val="minor"/>
      </rPr>
      <t>で照査</t>
    </r>
    <rPh sb="6" eb="7">
      <t>ジ</t>
    </rPh>
    <rPh sb="11" eb="13">
      <t>ショウサ</t>
    </rPh>
    <phoneticPr fontId="5"/>
  </si>
  <si>
    <t>H24道擁p89</t>
    <rPh sb="3" eb="4">
      <t>ミチ</t>
    </rPh>
    <rPh sb="4" eb="5">
      <t>ヨウ</t>
    </rPh>
    <phoneticPr fontId="5"/>
  </si>
  <si>
    <r>
      <t>レベル２地震時の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h</t>
    </r>
    <r>
      <rPr>
        <sz val="11"/>
        <color theme="1"/>
        <rFont val="游ゴシック"/>
        <family val="2"/>
        <charset val="128"/>
        <scheme val="minor"/>
      </rPr>
      <t>で照査</t>
    </r>
    <rPh sb="6" eb="7">
      <t>ジ</t>
    </rPh>
    <rPh sb="11" eb="13">
      <t>ショウサ</t>
    </rPh>
    <phoneticPr fontId="5"/>
  </si>
  <si>
    <t>H24道擁p111</t>
    <rPh sb="3" eb="4">
      <t>ミチ</t>
    </rPh>
    <rPh sb="4" eb="5">
      <t>ヨウ</t>
    </rPh>
    <phoneticPr fontId="5"/>
  </si>
  <si>
    <t>1-9. 照査における荷重の組み合わせ</t>
    <phoneticPr fontId="5"/>
  </si>
  <si>
    <t>H24道擁p51</t>
    <rPh sb="3" eb="4">
      <t>ミチ</t>
    </rPh>
    <rPh sb="4" eb="5">
      <t>ヨウ</t>
    </rPh>
    <phoneticPr fontId="5"/>
  </si>
  <si>
    <t>自重</t>
    <rPh sb="0" eb="2">
      <t>ジジュウ</t>
    </rPh>
    <phoneticPr fontId="5"/>
  </si>
  <si>
    <t>上載荷重</t>
    <rPh sb="0" eb="1">
      <t>ウエ</t>
    </rPh>
    <rPh sb="1" eb="3">
      <t>サイカ</t>
    </rPh>
    <rPh sb="2" eb="4">
      <t>カジュウ</t>
    </rPh>
    <phoneticPr fontId="5"/>
  </si>
  <si>
    <t>主働土圧</t>
    <rPh sb="0" eb="2">
      <t>シュドウ</t>
    </rPh>
    <rPh sb="2" eb="4">
      <t>ドアツ</t>
    </rPh>
    <phoneticPr fontId="5"/>
  </si>
  <si>
    <t>有り</t>
  </si>
  <si>
    <t>/</t>
    <phoneticPr fontId="1"/>
  </si>
  <si>
    <t>作用力の合力位置（底版つま先から合力の作用点までの距離）（H24道擁p117）</t>
    <rPh sb="0" eb="2">
      <t>サヨウ</t>
    </rPh>
    <rPh sb="2" eb="3">
      <t>リョク</t>
    </rPh>
    <rPh sb="25" eb="27">
      <t>キョリ</t>
    </rPh>
    <phoneticPr fontId="5"/>
  </si>
  <si>
    <r>
      <t>b</t>
    </r>
    <r>
      <rPr>
        <i/>
        <vertAlign val="subscript"/>
        <sz val="11"/>
        <color theme="1"/>
        <rFont val="Times New Roman"/>
        <family val="1"/>
      </rPr>
      <t>u</t>
    </r>
    <phoneticPr fontId="1"/>
  </si>
  <si>
    <t>土塊上の上載荷重の作用幅(m)</t>
    <rPh sb="0" eb="1">
      <t>ツチ</t>
    </rPh>
    <rPh sb="1" eb="2">
      <t>カタマリ</t>
    </rPh>
    <rPh sb="2" eb="3">
      <t>ウエ</t>
    </rPh>
    <rPh sb="4" eb="5">
      <t>ウエ</t>
    </rPh>
    <rPh sb="5" eb="6">
      <t>ノ</t>
    </rPh>
    <rPh sb="6" eb="8">
      <t>カジュウ</t>
    </rPh>
    <rPh sb="9" eb="11">
      <t>サヨウ</t>
    </rPh>
    <rPh sb="11" eb="12">
      <t>ハバ</t>
    </rPh>
    <phoneticPr fontId="5"/>
  </si>
  <si>
    <r>
      <rPr>
        <i/>
        <sz val="11"/>
        <color theme="1"/>
        <rFont val="Times New Roman"/>
        <family val="1"/>
      </rPr>
      <t>d  &gt;  B</t>
    </r>
    <r>
      <rPr>
        <sz val="11"/>
        <color theme="1"/>
        <rFont val="游ゴシック"/>
        <family val="2"/>
        <charset val="128"/>
        <scheme val="minor"/>
      </rPr>
      <t>/</t>
    </r>
    <phoneticPr fontId="5"/>
  </si>
  <si>
    <t>d</t>
    <phoneticPr fontId="1"/>
  </si>
  <si>
    <r>
      <t>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>=V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x</t>
    </r>
    <phoneticPr fontId="5"/>
  </si>
  <si>
    <r>
      <t>M</t>
    </r>
    <r>
      <rPr>
        <i/>
        <vertAlign val="subscript"/>
        <sz val="11"/>
        <color theme="1"/>
        <rFont val="Times New Roman"/>
        <family val="1"/>
      </rPr>
      <t>y</t>
    </r>
    <r>
      <rPr>
        <i/>
        <sz val="11"/>
        <color theme="1"/>
        <rFont val="Times New Roman"/>
        <family val="1"/>
      </rPr>
      <t>=H</t>
    </r>
    <r>
      <rPr>
        <sz val="11"/>
        <color theme="1"/>
        <rFont val="ＭＳ 明朝"/>
        <family val="1"/>
        <charset val="128"/>
      </rPr>
      <t>・</t>
    </r>
    <r>
      <rPr>
        <i/>
        <sz val="11"/>
        <color theme="1"/>
        <rFont val="Times New Roman"/>
        <family val="1"/>
      </rPr>
      <t>y</t>
    </r>
    <phoneticPr fontId="5"/>
  </si>
  <si>
    <t>ΣV</t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</si>
  <si>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</si>
  <si>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H</t>
    </r>
    <phoneticPr fontId="1"/>
  </si>
  <si>
    <r>
      <t>B</t>
    </r>
    <r>
      <rPr>
        <i/>
        <vertAlign val="subscript"/>
        <sz val="11"/>
        <color rgb="FF000000"/>
        <rFont val="Times New Roman"/>
        <family val="1"/>
      </rPr>
      <t xml:space="preserve"> </t>
    </r>
    <r>
      <rPr>
        <i/>
        <sz val="11"/>
        <color rgb="FF000000"/>
        <rFont val="Times New Roman"/>
        <family val="1"/>
      </rPr>
      <t>/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</si>
  <si>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phoneticPr fontId="1"/>
  </si>
  <si>
    <r>
      <t>κ</t>
    </r>
    <r>
      <rPr>
        <i/>
        <vertAlign val="subscript"/>
        <sz val="11"/>
        <color theme="1"/>
        <rFont val="Times New Roman"/>
        <family val="1"/>
      </rPr>
      <t>d</t>
    </r>
    <phoneticPr fontId="5"/>
  </si>
  <si>
    <t>B</t>
    <phoneticPr fontId="5"/>
  </si>
  <si>
    <t>sin</t>
    <phoneticPr fontId="1"/>
  </si>
  <si>
    <t>)+</t>
    <phoneticPr fontId="1"/>
  </si>
  <si>
    <t>ℓ</t>
    <phoneticPr fontId="1"/>
  </si>
  <si>
    <r>
      <t>κ</t>
    </r>
    <r>
      <rPr>
        <vertAlign val="subscript"/>
        <sz val="11"/>
        <color theme="1"/>
        <rFont val="游ゴシック"/>
        <family val="3"/>
        <charset val="128"/>
        <scheme val="minor"/>
      </rPr>
      <t>ℓ</t>
    </r>
    <phoneticPr fontId="5"/>
  </si>
  <si>
    <t>(1</t>
    <phoneticPr fontId="1"/>
  </si>
  <si>
    <t>3)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</si>
  <si>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</si>
  <si>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H</t>
    </r>
    <phoneticPr fontId="1"/>
  </si>
  <si>
    <t>cos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</si>
  <si>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r>
      <rPr>
        <vertAlign val="subscript"/>
        <sz val="11"/>
        <color theme="1"/>
        <rFont val="Times New Roman"/>
        <family val="1"/>
      </rPr>
      <t>1</t>
    </r>
    <phoneticPr fontId="1"/>
  </si>
  <si>
    <r>
      <t>M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</si>
  <si>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(2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</si>
  <si>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r>
      <rPr>
        <vertAlign val="subscript"/>
        <sz val="11"/>
        <color theme="1"/>
        <rFont val="Times New Roman"/>
        <family val="1"/>
      </rPr>
      <t>2</t>
    </r>
    <phoneticPr fontId="1"/>
  </si>
  <si>
    <t>(3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</si>
  <si>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phoneticPr fontId="1"/>
  </si>
  <si>
    <t>ℓ</t>
    <phoneticPr fontId="5"/>
  </si>
  <si>
    <t>ここに、</t>
    <phoneticPr fontId="1"/>
  </si>
  <si>
    <t>壁面長(m)</t>
    <rPh sb="0" eb="2">
      <t>ヘキメン</t>
    </rPh>
    <rPh sb="2" eb="3">
      <t>ナガ</t>
    </rPh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</si>
  <si>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x</t>
    </r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</si>
  <si>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y</t>
    </r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</si>
  <si>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H</t>
    </r>
    <phoneticPr fontId="5"/>
  </si>
  <si>
    <t>擁壁底面に発生する鉛直地盤反力(kN/m)</t>
    <rPh sb="0" eb="2">
      <t>ヨウヘキ</t>
    </rPh>
    <rPh sb="2" eb="4">
      <t>テイメン</t>
    </rPh>
    <rPh sb="5" eb="7">
      <t>ハッセイ</t>
    </rPh>
    <rPh sb="9" eb="11">
      <t>エンチョク</t>
    </rPh>
    <rPh sb="11" eb="13">
      <t>ジバン</t>
    </rPh>
    <rPh sb="13" eb="15">
      <t>ハンリョク</t>
    </rPh>
    <phoneticPr fontId="1"/>
  </si>
  <si>
    <t>擁壁底面に発生する水平地盤反力(kN/m)</t>
    <rPh sb="0" eb="2">
      <t>ヨウヘキ</t>
    </rPh>
    <rPh sb="2" eb="4">
      <t>テイメン</t>
    </rPh>
    <rPh sb="5" eb="7">
      <t>ハッセイ</t>
    </rPh>
    <rPh sb="9" eb="11">
      <t>スイヘイ</t>
    </rPh>
    <rPh sb="11" eb="13">
      <t>ジバン</t>
    </rPh>
    <rPh sb="13" eb="15">
      <t>ハンリョク</t>
    </rPh>
    <phoneticPr fontId="1"/>
  </si>
  <si>
    <t>≦</t>
    <phoneticPr fontId="1"/>
  </si>
  <si>
    <t>のとき、</t>
    <phoneticPr fontId="1"/>
  </si>
  <si>
    <t>ただし、</t>
    <phoneticPr fontId="1"/>
  </si>
  <si>
    <t>擁壁底面の前方に発生する鉛直地盤反力度(kN/m²)</t>
    <rPh sb="0" eb="2">
      <t>ヨウヘキ</t>
    </rPh>
    <rPh sb="2" eb="4">
      <t>テイメン</t>
    </rPh>
    <rPh sb="5" eb="7">
      <t>ゼンポウ</t>
    </rPh>
    <rPh sb="8" eb="10">
      <t>ハッセイ</t>
    </rPh>
    <rPh sb="12" eb="14">
      <t>エンチョク</t>
    </rPh>
    <rPh sb="14" eb="16">
      <t>ジバン</t>
    </rPh>
    <rPh sb="16" eb="19">
      <t>ハンリョクド</t>
    </rPh>
    <phoneticPr fontId="1"/>
  </si>
  <si>
    <t>擁壁底面の後方に発生する鉛直地盤反力度(kN/m²)</t>
    <rPh sb="0" eb="2">
      <t>ヨウヘキ</t>
    </rPh>
    <rPh sb="2" eb="4">
      <t>テイメン</t>
    </rPh>
    <rPh sb="5" eb="7">
      <t>コウホウ</t>
    </rPh>
    <rPh sb="8" eb="10">
      <t>ハッセイ</t>
    </rPh>
    <rPh sb="12" eb="14">
      <t>エンチョク</t>
    </rPh>
    <rPh sb="14" eb="16">
      <t>ジバン</t>
    </rPh>
    <rPh sb="16" eb="19">
      <t>ハンリョクド</t>
    </rPh>
    <phoneticPr fontId="1"/>
  </si>
  <si>
    <t>擁壁背面に発生する最大壁面地盤反力度(kN/m²)</t>
    <rPh sb="0" eb="2">
      <t>ヨウヘキ</t>
    </rPh>
    <rPh sb="2" eb="4">
      <t>ハイメン</t>
    </rPh>
    <rPh sb="5" eb="7">
      <t>ハッセイ</t>
    </rPh>
    <rPh sb="9" eb="11">
      <t>サイダイ</t>
    </rPh>
    <rPh sb="11" eb="13">
      <t>ヘキメン</t>
    </rPh>
    <rPh sb="13" eb="15">
      <t>ジバン</t>
    </rPh>
    <rPh sb="15" eb="18">
      <t>ハンリョクド</t>
    </rPh>
    <phoneticPr fontId="1"/>
  </si>
  <si>
    <r>
      <t>d</t>
    </r>
    <r>
      <rPr>
        <i/>
        <vertAlign val="subscript"/>
        <sz val="11"/>
        <color theme="1"/>
        <rFont val="Times New Roman"/>
        <family val="1"/>
      </rPr>
      <t>p</t>
    </r>
    <phoneticPr fontId="1"/>
  </si>
  <si>
    <t>擁壁底面のつま先からの鉛直地盤反力の作用位置(m)</t>
    <rPh sb="0" eb="2">
      <t>ヨウヘキ</t>
    </rPh>
    <rPh sb="2" eb="4">
      <t>テイメン</t>
    </rPh>
    <rPh sb="7" eb="8">
      <t>サキ</t>
    </rPh>
    <rPh sb="11" eb="13">
      <t>エンチョク</t>
    </rPh>
    <rPh sb="13" eb="15">
      <t>ジバン</t>
    </rPh>
    <rPh sb="15" eb="17">
      <t>ハンリョク</t>
    </rPh>
    <rPh sb="18" eb="20">
      <t>サヨウ</t>
    </rPh>
    <rPh sb="20" eb="22">
      <t>イチ</t>
    </rPh>
    <phoneticPr fontId="1"/>
  </si>
  <si>
    <t>ℓ₁</t>
    <phoneticPr fontId="5"/>
  </si>
  <si>
    <t>ℓ₂</t>
    <phoneticPr fontId="5"/>
  </si>
  <si>
    <t>擁壁底面から壁面地盤反力度が発生する位置までの区間長(m)</t>
    <rPh sb="0" eb="2">
      <t>ヨウヘキ</t>
    </rPh>
    <rPh sb="2" eb="4">
      <t>テイメン</t>
    </rPh>
    <rPh sb="6" eb="8">
      <t>ヘキメン</t>
    </rPh>
    <rPh sb="8" eb="10">
      <t>ジバン</t>
    </rPh>
    <rPh sb="10" eb="13">
      <t>ハンリョクド</t>
    </rPh>
    <rPh sb="14" eb="16">
      <t>ハッセイ</t>
    </rPh>
    <rPh sb="18" eb="20">
      <t>イチ</t>
    </rPh>
    <rPh sb="23" eb="25">
      <t>クカン</t>
    </rPh>
    <rPh sb="25" eb="26">
      <t>チョウ</t>
    </rPh>
    <phoneticPr fontId="1"/>
  </si>
  <si>
    <t>壁面地盤反力度が発生する区間長(m)</t>
    <rPh sb="0" eb="2">
      <t>ヘキメン</t>
    </rPh>
    <rPh sb="2" eb="4">
      <t>ジバン</t>
    </rPh>
    <rPh sb="4" eb="6">
      <t>ハンリョク</t>
    </rPh>
    <rPh sb="6" eb="7">
      <t>ド</t>
    </rPh>
    <rPh sb="8" eb="10">
      <t>ハッセイ</t>
    </rPh>
    <rPh sb="12" eb="15">
      <t>クカンチョウ</t>
    </rPh>
    <phoneticPr fontId="1"/>
  </si>
  <si>
    <r>
      <t>壁面底面のつま先からの鉛直地盤反力度の作用位置</t>
    </r>
    <r>
      <rPr>
        <i/>
        <sz val="11"/>
        <color theme="1"/>
        <rFont val="Times New Roman"/>
        <family val="1"/>
      </rPr>
      <t>d</t>
    </r>
    <r>
      <rPr>
        <i/>
        <vertAlign val="subscript"/>
        <sz val="11"/>
        <color theme="1"/>
        <rFont val="Times New Roman"/>
        <family val="1"/>
      </rPr>
      <t>p</t>
    </r>
    <r>
      <rPr>
        <sz val="11"/>
        <color theme="1"/>
        <rFont val="游ゴシック"/>
        <family val="2"/>
        <charset val="128"/>
        <scheme val="minor"/>
      </rPr>
      <t>と擁壁底面幅</t>
    </r>
    <r>
      <rPr>
        <i/>
        <sz val="11"/>
        <color theme="1"/>
        <rFont val="Times New Roman"/>
        <family val="1"/>
      </rPr>
      <t>B</t>
    </r>
    <r>
      <rPr>
        <sz val="11"/>
        <color theme="1"/>
        <rFont val="游ゴシック"/>
        <family val="2"/>
        <charset val="128"/>
        <scheme val="minor"/>
      </rPr>
      <t>との比</t>
    </r>
    <rPh sb="0" eb="2">
      <t>ヘキメン</t>
    </rPh>
    <rPh sb="2" eb="4">
      <t>テイメン</t>
    </rPh>
    <rPh sb="7" eb="8">
      <t>サキ</t>
    </rPh>
    <rPh sb="11" eb="13">
      <t>エンチョク</t>
    </rPh>
    <rPh sb="13" eb="15">
      <t>ジバン</t>
    </rPh>
    <rPh sb="15" eb="18">
      <t>ハンリョクド</t>
    </rPh>
    <rPh sb="19" eb="23">
      <t>サヨウイチ</t>
    </rPh>
    <rPh sb="26" eb="28">
      <t>ヨウヘキ</t>
    </rPh>
    <rPh sb="28" eb="30">
      <t>テイメン</t>
    </rPh>
    <rPh sb="30" eb="31">
      <t>ハバ</t>
    </rPh>
    <rPh sb="34" eb="35">
      <t>ヒ</t>
    </rPh>
    <phoneticPr fontId="1"/>
  </si>
  <si>
    <t>背面勾配</t>
    <rPh sb="0" eb="2">
      <t>ハイメン</t>
    </rPh>
    <rPh sb="2" eb="4">
      <t>コウバイ</t>
    </rPh>
    <phoneticPr fontId="1"/>
  </si>
  <si>
    <t>=ℓ₂/ℓ</t>
    <phoneticPr fontId="1"/>
  </si>
  <si>
    <t>1:0.3</t>
    <phoneticPr fontId="1"/>
  </si>
  <si>
    <t>1:0.4</t>
    <phoneticPr fontId="1"/>
  </si>
  <si>
    <t>1:0.5</t>
    <phoneticPr fontId="1"/>
  </si>
  <si>
    <r>
      <t>κ</t>
    </r>
    <r>
      <rPr>
        <i/>
        <vertAlign val="subscript"/>
        <sz val="11"/>
        <color theme="1"/>
        <rFont val="Times New Roman"/>
        <family val="2"/>
        <charset val="161"/>
      </rPr>
      <t>d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</si>
  <si>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 xml:space="preserve">V </t>
    </r>
    <phoneticPr fontId="5"/>
  </si>
  <si>
    <t>√</t>
    <phoneticPr fontId="1"/>
  </si>
  <si>
    <t>(1+</t>
    <phoneticPr fontId="1"/>
  </si>
  <si>
    <r>
      <rPr>
        <sz val="11"/>
        <color theme="1"/>
        <rFont val="Times New Roman"/>
        <family val="1"/>
      </rPr>
      <t>(1</t>
    </r>
    <r>
      <rPr>
        <i/>
        <sz val="11"/>
        <color theme="1"/>
        <rFont val="Times New Roman"/>
        <family val="1"/>
      </rPr>
      <t>+n</t>
    </r>
    <r>
      <rPr>
        <sz val="11"/>
        <color theme="1"/>
        <rFont val="游ゴシック"/>
        <family val="2"/>
        <charset val="128"/>
        <scheme val="minor"/>
      </rPr>
      <t>₂²)</t>
    </r>
    <phoneticPr fontId="1"/>
  </si>
  <si>
    <t>²)</t>
    <phoneticPr fontId="1"/>
  </si>
  <si>
    <t>なので、</t>
    <phoneticPr fontId="1"/>
  </si>
  <si>
    <t>擁壁背面に発生する壁面地盤反力(kN/m)　</t>
    <rPh sb="0" eb="2">
      <t>ヨウヘキ</t>
    </rPh>
    <rPh sb="2" eb="4">
      <t>ハイメン</t>
    </rPh>
    <rPh sb="5" eb="7">
      <t>ハッセイ</t>
    </rPh>
    <rPh sb="9" eb="11">
      <t>ヘキメン</t>
    </rPh>
    <rPh sb="11" eb="13">
      <t>ジバン</t>
    </rPh>
    <rPh sb="13" eb="15">
      <t>ハンリョク</t>
    </rPh>
    <phoneticPr fontId="1"/>
  </si>
  <si>
    <r>
      <t>作用力の合力位置が擁壁底面幅の1/2より後方にある(</t>
    </r>
    <r>
      <rPr>
        <i/>
        <sz val="11"/>
        <color theme="1"/>
        <rFont val="Times New Roman"/>
        <family val="1"/>
      </rPr>
      <t>d</t>
    </r>
    <r>
      <rPr>
        <sz val="11"/>
        <color theme="1"/>
        <rFont val="游ゴシック"/>
        <family val="2"/>
        <charset val="128"/>
        <scheme val="minor"/>
      </rPr>
      <t>&gt;</t>
    </r>
    <r>
      <rPr>
        <i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/2</t>
    </r>
    <r>
      <rPr>
        <sz val="11"/>
        <color theme="1"/>
        <rFont val="游ゴシック"/>
        <family val="2"/>
        <charset val="128"/>
        <scheme val="minor"/>
      </rPr>
      <t>)ため、簡便法で計算する。（H24道擁p164）</t>
    </r>
    <rPh sb="0" eb="3">
      <t>サヨウリョク</t>
    </rPh>
    <rPh sb="4" eb="6">
      <t>ゴウリョク</t>
    </rPh>
    <rPh sb="6" eb="8">
      <t>イチ</t>
    </rPh>
    <rPh sb="9" eb="11">
      <t>ヨウヘキ</t>
    </rPh>
    <rPh sb="11" eb="13">
      <t>テイメン</t>
    </rPh>
    <rPh sb="13" eb="14">
      <t>ハバ</t>
    </rPh>
    <rPh sb="20" eb="22">
      <t>コウホウ</t>
    </rPh>
    <rPh sb="35" eb="37">
      <t>カンベン</t>
    </rPh>
    <rPh sb="37" eb="38">
      <t>ホウ</t>
    </rPh>
    <rPh sb="39" eb="41">
      <t>ケイサン</t>
    </rPh>
    <rPh sb="48" eb="49">
      <t>ミチ</t>
    </rPh>
    <rPh sb="49" eb="50">
      <t>ヨウ</t>
    </rPh>
    <phoneticPr fontId="1"/>
  </si>
  <si>
    <t>中間層に軟弱な土層あるいは液状化が懸念されるゆるい砂質土層</t>
    <phoneticPr fontId="1"/>
  </si>
  <si>
    <t>壁面地盤反力度が発生する区間長ℓ₂と擁壁壁面長ℓとの比(下表による)</t>
    <rPh sb="0" eb="2">
      <t>ヘキメン</t>
    </rPh>
    <rPh sb="2" eb="4">
      <t>ジバン</t>
    </rPh>
    <rPh sb="4" eb="7">
      <t>ハンリョクド</t>
    </rPh>
    <rPh sb="8" eb="10">
      <t>ハッセイ</t>
    </rPh>
    <rPh sb="12" eb="15">
      <t>クカンチョウ</t>
    </rPh>
    <rPh sb="18" eb="20">
      <t>ヨウヘキ</t>
    </rPh>
    <rPh sb="20" eb="22">
      <t>ヘキメン</t>
    </rPh>
    <rPh sb="22" eb="23">
      <t>ナガ</t>
    </rPh>
    <rPh sb="26" eb="27">
      <t>ヒ</t>
    </rPh>
    <rPh sb="28" eb="29">
      <t>シタ</t>
    </rPh>
    <rPh sb="29" eb="30">
      <t>ヒョウ</t>
    </rPh>
    <phoneticPr fontId="1"/>
  </si>
  <si>
    <t>H24道擁p83,143</t>
    <rPh sb="3" eb="4">
      <t>ミチ</t>
    </rPh>
    <rPh sb="4" eb="5">
      <t>ヨウ</t>
    </rPh>
    <phoneticPr fontId="5"/>
  </si>
  <si>
    <t>+0.15</t>
    <phoneticPr fontId="1"/>
  </si>
  <si>
    <t>H24道擁p83,144</t>
    <rPh sb="3" eb="4">
      <t>ミチ</t>
    </rPh>
    <rPh sb="4" eb="5">
      <t>ヨウ</t>
    </rPh>
    <phoneticPr fontId="5"/>
  </si>
  <si>
    <t>礫質土</t>
    <rPh sb="0" eb="3">
      <t>レキシツドツチ</t>
    </rPh>
    <phoneticPr fontId="1"/>
  </si>
  <si>
    <t>1-4. 支持地盤</t>
    <rPh sb="5" eb="7">
      <t>シジ</t>
    </rPh>
    <rPh sb="7" eb="9">
      <t>ジバン</t>
    </rPh>
    <phoneticPr fontId="1"/>
  </si>
  <si>
    <t>勾配</t>
    <phoneticPr fontId="1"/>
  </si>
  <si>
    <t>b</t>
    <phoneticPr fontId="1"/>
  </si>
  <si>
    <t>天端厚</t>
    <rPh sb="0" eb="1">
      <t>テン</t>
    </rPh>
    <rPh sb="1" eb="2">
      <t>ハシ</t>
    </rPh>
    <rPh sb="2" eb="3">
      <t>アツ</t>
    </rPh>
    <phoneticPr fontId="1"/>
  </si>
  <si>
    <t>直高</t>
    <rPh sb="0" eb="1">
      <t>チョク</t>
    </rPh>
    <rPh sb="1" eb="2">
      <t>タカ</t>
    </rPh>
    <phoneticPr fontId="1"/>
  </si>
  <si>
    <t>H'</t>
    <phoneticPr fontId="1"/>
  </si>
  <si>
    <t>全高</t>
    <rPh sb="0" eb="1">
      <t>ゼン</t>
    </rPh>
    <rPh sb="1" eb="2">
      <t>タカ</t>
    </rPh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</si>
  <si>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</si>
  <si>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</si>
  <si>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N/mm²</t>
    <phoneticPr fontId="1"/>
  </si>
  <si>
    <t>n</t>
    <phoneticPr fontId="1"/>
  </si>
  <si>
    <r>
      <t>b</t>
    </r>
    <r>
      <rPr>
        <sz val="11"/>
        <color theme="1"/>
        <rFont val="Times New Roman"/>
        <family val="1"/>
      </rPr>
      <t>₂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</si>
  <si>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h</t>
    </r>
    <phoneticPr fontId="1"/>
  </si>
  <si>
    <r>
      <t>b</t>
    </r>
    <r>
      <rPr>
        <sz val="11"/>
        <color theme="1"/>
        <rFont val="Times New Roman"/>
        <family val="1"/>
      </rPr>
      <t>₃</t>
    </r>
    <phoneticPr fontId="1"/>
  </si>
  <si>
    <t>=</t>
    <phoneticPr fontId="1"/>
  </si>
  <si>
    <t>m²</t>
    <phoneticPr fontId="5"/>
  </si>
  <si>
    <t>高さ</t>
    <rPh sb="0" eb="1">
      <t>タカ</t>
    </rPh>
    <phoneticPr fontId="1"/>
  </si>
  <si>
    <t>裏込めコンクリート厚</t>
    <rPh sb="0" eb="2">
      <t>ウラゴ</t>
    </rPh>
    <rPh sb="9" eb="10">
      <t>アツ</t>
    </rPh>
    <phoneticPr fontId="5"/>
  </si>
  <si>
    <t>重心位置</t>
    <phoneticPr fontId="1"/>
  </si>
  <si>
    <t>自重</t>
    <rPh sb="0" eb="2">
      <t>ジジュウ</t>
    </rPh>
    <phoneticPr fontId="1"/>
  </si>
  <si>
    <r>
      <t>b</t>
    </r>
    <r>
      <rPr>
        <sz val="11"/>
        <color theme="1"/>
        <rFont val="Times New Roman"/>
        <family val="1"/>
      </rPr>
      <t>₄</t>
    </r>
    <phoneticPr fontId="1"/>
  </si>
  <si>
    <t>/2</t>
    <phoneticPr fontId="1"/>
  </si>
  <si>
    <t>+(</t>
    <phoneticPr fontId="1"/>
  </si>
  <si>
    <t>+</t>
    <phoneticPr fontId="1"/>
  </si>
  <si>
    <r>
      <t xml:space="preserve">b </t>
    </r>
    <r>
      <rPr>
        <sz val="11"/>
        <color theme="1"/>
        <rFont val="Times New Roman"/>
        <family val="1"/>
      </rPr>
      <t>)</t>
    </r>
    <phoneticPr fontId="1"/>
  </si>
  <si>
    <t>b₄</t>
    <phoneticPr fontId="1"/>
  </si>
  <si>
    <t>) /</t>
    <phoneticPr fontId="1"/>
  </si>
  <si>
    <t>=</t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</si>
  <si>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r</t>
    </r>
    <phoneticPr fontId="1"/>
  </si>
  <si>
    <t>(</t>
    <phoneticPr fontId="1"/>
  </si>
  <si>
    <t>+</t>
    <phoneticPr fontId="1"/>
  </si>
  <si>
    <t>) /</t>
    <phoneticPr fontId="1"/>
  </si>
  <si>
    <t>=</t>
    <phoneticPr fontId="1"/>
  </si>
  <si>
    <r>
      <t>b</t>
    </r>
    <r>
      <rPr>
        <sz val="11"/>
        <color theme="1"/>
        <rFont val="Times New Roman"/>
        <family val="1"/>
      </rPr>
      <t>₅</t>
    </r>
    <phoneticPr fontId="1"/>
  </si>
  <si>
    <t>最上段以外</t>
    <rPh sb="0" eb="3">
      <t>サイジョウダン</t>
    </rPh>
    <rPh sb="3" eb="5">
      <t>イガイ</t>
    </rPh>
    <phoneticPr fontId="5"/>
  </si>
  <si>
    <t>段</t>
    <rPh sb="0" eb="1">
      <t>ダン</t>
    </rPh>
    <phoneticPr fontId="1"/>
  </si>
  <si>
    <t>段数（最上段除く）</t>
    <rPh sb="0" eb="2">
      <t>ダンスウ</t>
    </rPh>
    <rPh sb="3" eb="6">
      <t>サイジョウダン</t>
    </rPh>
    <rPh sb="6" eb="7">
      <t>ノゾ</t>
    </rPh>
    <phoneticPr fontId="1"/>
  </si>
  <si>
    <t>/</t>
    <phoneticPr fontId="1"/>
  </si>
  <si>
    <t>各段の自重を集計する。</t>
    <rPh sb="0" eb="1">
      <t>カク</t>
    </rPh>
    <rPh sb="1" eb="2">
      <t>ダン</t>
    </rPh>
    <rPh sb="3" eb="5">
      <t>ジジュウ</t>
    </rPh>
    <rPh sb="6" eb="8">
      <t>シュウケイ</t>
    </rPh>
    <phoneticPr fontId="1"/>
  </si>
  <si>
    <t>最上段</t>
    <rPh sb="0" eb="3">
      <t>サイジョウダン</t>
    </rPh>
    <phoneticPr fontId="1"/>
  </si>
  <si>
    <t>最上段以外</t>
    <rPh sb="0" eb="3">
      <t>サイジョウダン</t>
    </rPh>
    <rPh sb="3" eb="5">
      <t>イガイ</t>
    </rPh>
    <phoneticPr fontId="1"/>
  </si>
  <si>
    <t>基礎部</t>
    <rPh sb="0" eb="2">
      <t>キソ</t>
    </rPh>
    <rPh sb="2" eb="3">
      <t>ブ</t>
    </rPh>
    <phoneticPr fontId="1"/>
  </si>
  <si>
    <t>天端コンクリート</t>
    <rPh sb="0" eb="1">
      <t>テン</t>
    </rPh>
    <rPh sb="1" eb="2">
      <t>ハシ</t>
    </rPh>
    <phoneticPr fontId="1"/>
  </si>
  <si>
    <t>ブロック</t>
    <phoneticPr fontId="1"/>
  </si>
  <si>
    <t>裏込めコンクリート</t>
    <rPh sb="0" eb="2">
      <t>ウラコ</t>
    </rPh>
    <phoneticPr fontId="1"/>
  </si>
  <si>
    <t>合計　Σ</t>
    <rPh sb="0" eb="2">
      <t>ゴウケイ</t>
    </rPh>
    <phoneticPr fontId="1"/>
  </si>
  <si>
    <t>基礎コンクリート</t>
    <rPh sb="0" eb="2">
      <t>キソ</t>
    </rPh>
    <phoneticPr fontId="1"/>
  </si>
  <si>
    <t>鉛直荷重</t>
    <rPh sb="0" eb="2">
      <t>エンチョク</t>
    </rPh>
    <rPh sb="2" eb="4">
      <t>カジュウ</t>
    </rPh>
    <phoneticPr fontId="1"/>
  </si>
  <si>
    <t>V</t>
    <phoneticPr fontId="1"/>
  </si>
  <si>
    <t>重心位置</t>
    <rPh sb="0" eb="2">
      <t>ジュウシン</t>
    </rPh>
    <rPh sb="2" eb="4">
      <t>イチ</t>
    </rPh>
    <phoneticPr fontId="1"/>
  </si>
  <si>
    <t>x</t>
    <phoneticPr fontId="1"/>
  </si>
  <si>
    <t>(m)</t>
    <phoneticPr fontId="5"/>
  </si>
  <si>
    <t>基礎部</t>
    <rPh sb="0" eb="2">
      <t>キソ</t>
    </rPh>
    <rPh sb="2" eb="3">
      <t>ブ</t>
    </rPh>
    <phoneticPr fontId="1"/>
  </si>
  <si>
    <t>基準点</t>
    <rPh sb="0" eb="3">
      <t>キジュンテン</t>
    </rPh>
    <phoneticPr fontId="1"/>
  </si>
  <si>
    <t>基礎幅</t>
    <rPh sb="0" eb="2">
      <t>キソ</t>
    </rPh>
    <rPh sb="2" eb="3">
      <t>ハバ</t>
    </rPh>
    <phoneticPr fontId="1"/>
  </si>
  <si>
    <t>基礎厚</t>
    <rPh sb="0" eb="2">
      <t>キソ</t>
    </rPh>
    <rPh sb="2" eb="3">
      <t>アツ</t>
    </rPh>
    <phoneticPr fontId="1"/>
  </si>
  <si>
    <t>基礎前面天端幅</t>
    <rPh sb="0" eb="2">
      <t>キソ</t>
    </rPh>
    <rPh sb="2" eb="4">
      <t>ゼンメン</t>
    </rPh>
    <rPh sb="4" eb="6">
      <t>テンバ</t>
    </rPh>
    <rPh sb="6" eb="7">
      <t>ハバ</t>
    </rPh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</si>
  <si>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f</t>
    </r>
    <phoneticPr fontId="1"/>
  </si>
  <si>
    <t>勾配</t>
    <rPh sb="0" eb="2">
      <t>コウバイ</t>
    </rPh>
    <phoneticPr fontId="1"/>
  </si>
  <si>
    <t>基礎厚</t>
    <phoneticPr fontId="1"/>
  </si>
  <si>
    <t>基礎後面天端幅</t>
  </si>
  <si>
    <t>基礎後面天端幅</t>
    <rPh sb="0" eb="2">
      <t>キソ</t>
    </rPh>
    <rPh sb="2" eb="4">
      <t>コウメン</t>
    </rPh>
    <rPh sb="4" eb="6">
      <t>テンバ</t>
    </rPh>
    <rPh sb="6" eb="7">
      <t>ハバ</t>
    </rPh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</si>
  <si>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</si>
  <si>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ﾓｰﾒﾝﾄ</t>
    <phoneticPr fontId="1"/>
  </si>
  <si>
    <r>
      <t>x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V</t>
    </r>
    <phoneticPr fontId="1"/>
  </si>
  <si>
    <r>
      <t>(kN/m</t>
    </r>
    <r>
      <rPr>
        <sz val="11"/>
        <color theme="1"/>
        <rFont val="ＭＳ Ｐ明朝"/>
        <family val="1"/>
        <charset val="128"/>
      </rPr>
      <t>・</t>
    </r>
    <r>
      <rPr>
        <sz val="11"/>
        <color theme="1"/>
        <rFont val="Times New Roman"/>
        <family val="1"/>
      </rPr>
      <t>m)</t>
    </r>
    <phoneticPr fontId="5"/>
  </si>
  <si>
    <t>段ごとの重心の計算</t>
    <rPh sb="0" eb="1">
      <t>ダン</t>
    </rPh>
    <rPh sb="4" eb="6">
      <t>ジュウシン</t>
    </rPh>
    <rPh sb="7" eb="9">
      <t>ケイサン</t>
    </rPh>
    <phoneticPr fontId="1"/>
  </si>
  <si>
    <t>最上段</t>
    <rPh sb="0" eb="3">
      <t>サイジョウダン</t>
    </rPh>
    <phoneticPr fontId="1"/>
  </si>
  <si>
    <t>/</t>
    <phoneticPr fontId="1"/>
  </si>
  <si>
    <t>=</t>
    <phoneticPr fontId="1"/>
  </si>
  <si>
    <t>最上段以外</t>
    <rPh sb="0" eb="3">
      <t>サイジョウダン</t>
    </rPh>
    <rPh sb="3" eb="5">
      <t>イガイ</t>
    </rPh>
    <phoneticPr fontId="1"/>
  </si>
  <si>
    <t>基礎部</t>
    <rPh sb="0" eb="3">
      <t>キソブ</t>
    </rPh>
    <phoneticPr fontId="1"/>
  </si>
  <si>
    <t>重心位置</t>
    <rPh sb="0" eb="2">
      <t>ジュウシン</t>
    </rPh>
    <rPh sb="2" eb="4">
      <t>イチ</t>
    </rPh>
    <phoneticPr fontId="1"/>
  </si>
  <si>
    <t>作用位置</t>
    <rPh sb="0" eb="2">
      <t>サヨウ</t>
    </rPh>
    <rPh sb="2" eb="4">
      <t>イチ</t>
    </rPh>
    <phoneticPr fontId="1"/>
  </si>
  <si>
    <r>
      <t>x</t>
    </r>
    <r>
      <rPr>
        <vertAlign val="subscript"/>
        <sz val="11"/>
        <color theme="1"/>
        <rFont val="Times New Roman"/>
        <family val="1"/>
      </rPr>
      <t>S</t>
    </r>
    <phoneticPr fontId="1"/>
  </si>
  <si>
    <t>基礎部</t>
    <rPh sb="0" eb="2">
      <t>キソ</t>
    </rPh>
    <rPh sb="2" eb="3">
      <t>ブ</t>
    </rPh>
    <phoneticPr fontId="1"/>
  </si>
  <si>
    <t>最上段以外</t>
    <rPh sb="0" eb="3">
      <t>サイジョウダン</t>
    </rPh>
    <rPh sb="3" eb="5">
      <t>イガイ</t>
    </rPh>
    <phoneticPr fontId="1"/>
  </si>
  <si>
    <t>最上段</t>
    <rPh sb="0" eb="3">
      <t>サイジョウダン</t>
    </rPh>
    <phoneticPr fontId="1"/>
  </si>
  <si>
    <t>&gt;</t>
    <phoneticPr fontId="1"/>
  </si>
  <si>
    <r>
      <t>H</t>
    </r>
    <r>
      <rPr>
        <sz val="11"/>
        <color theme="1"/>
        <rFont val="Times New Roman"/>
        <family val="1"/>
      </rPr>
      <t>²</t>
    </r>
    <phoneticPr fontId="1"/>
  </si>
  <si>
    <t>²</t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</si>
  <si>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ai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</si>
  <si>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</si>
  <si>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r>
      <t>K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</si>
  <si>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</si>
  <si>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r>
      <t>最大の主導土圧合力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</t>
    </r>
    <r>
      <rPr>
        <sz val="11"/>
        <color theme="1"/>
        <rFont val="游ゴシック"/>
        <family val="2"/>
        <charset val="128"/>
        <scheme val="minor"/>
      </rPr>
      <t>より、主働土圧係数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A</t>
    </r>
    <r>
      <rPr>
        <sz val="11"/>
        <color theme="1"/>
        <rFont val="游ゴシック"/>
        <family val="2"/>
        <charset val="128"/>
        <scheme val="minor"/>
      </rPr>
      <t>を逆算する。（H24道擁p101）</t>
    </r>
    <rPh sb="0" eb="2">
      <t>サイダイ</t>
    </rPh>
    <rPh sb="3" eb="5">
      <t>シュドウ</t>
    </rPh>
    <rPh sb="5" eb="7">
      <t>ドアツ</t>
    </rPh>
    <rPh sb="7" eb="9">
      <t>ゴウリョク</t>
    </rPh>
    <rPh sb="14" eb="16">
      <t>シュドウ</t>
    </rPh>
    <rPh sb="16" eb="18">
      <t>ドアツ</t>
    </rPh>
    <rPh sb="18" eb="20">
      <t>ケイスウ</t>
    </rPh>
    <rPh sb="23" eb="25">
      <t>ギャクサン</t>
    </rPh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</si>
  <si>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ai</t>
    </r>
    <phoneticPr fontId="1"/>
  </si>
  <si>
    <r>
      <t xml:space="preserve">任意位置に作用する土圧強度 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ai</t>
    </r>
    <r>
      <rPr>
        <sz val="11"/>
        <color theme="1"/>
        <rFont val="游ゴシック"/>
        <family val="2"/>
        <charset val="128"/>
        <scheme val="minor"/>
      </rPr>
      <t xml:space="preserve"> は、土圧強度の定義より下式で算出できる。</t>
    </r>
    <rPh sb="0" eb="2">
      <t>ニンイ</t>
    </rPh>
    <rPh sb="2" eb="4">
      <t>イチ</t>
    </rPh>
    <rPh sb="5" eb="7">
      <t>サヨウ</t>
    </rPh>
    <rPh sb="9" eb="11">
      <t>ドアツ</t>
    </rPh>
    <rPh sb="11" eb="13">
      <t>キョウド</t>
    </rPh>
    <rPh sb="20" eb="22">
      <t>ドアツ</t>
    </rPh>
    <rPh sb="22" eb="24">
      <t>キョウド</t>
    </rPh>
    <rPh sb="25" eb="27">
      <t>テイギ</t>
    </rPh>
    <rPh sb="29" eb="30">
      <t>シタ</t>
    </rPh>
    <rPh sb="30" eb="31">
      <t>シキ</t>
    </rPh>
    <rPh sb="32" eb="34">
      <t>サンシュツ</t>
    </rPh>
    <phoneticPr fontId="1"/>
  </si>
  <si>
    <t>土圧強度</t>
    <rPh sb="0" eb="2">
      <t>ドアツ</t>
    </rPh>
    <rPh sb="2" eb="4">
      <t>キョウド</t>
    </rPh>
    <phoneticPr fontId="1"/>
  </si>
  <si>
    <t>(kN/m²)</t>
    <phoneticPr fontId="5"/>
  </si>
  <si>
    <t>土圧合力</t>
    <rPh sb="0" eb="2">
      <t>ドアツ</t>
    </rPh>
    <rPh sb="2" eb="4">
      <t>ゴウリョク</t>
    </rPh>
    <phoneticPr fontId="1"/>
  </si>
  <si>
    <r>
      <t xml:space="preserve">任意の段の土圧合力 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ai</t>
    </r>
    <r>
      <rPr>
        <sz val="11"/>
        <color theme="1"/>
        <rFont val="游ゴシック"/>
        <family val="3"/>
        <charset val="128"/>
      </rPr>
      <t>は、下式で算出できる。</t>
    </r>
    <rPh sb="0" eb="2">
      <t>ニンイ</t>
    </rPh>
    <rPh sb="3" eb="4">
      <t>ダン</t>
    </rPh>
    <rPh sb="5" eb="7">
      <t>ドアツ</t>
    </rPh>
    <rPh sb="7" eb="9">
      <t>ゴウリョク</t>
    </rPh>
    <rPh sb="15" eb="16">
      <t>シタ</t>
    </rPh>
    <rPh sb="16" eb="17">
      <t>シキ</t>
    </rPh>
    <rPh sb="18" eb="20">
      <t>サンシュツ</t>
    </rPh>
    <phoneticPr fontId="1"/>
  </si>
  <si>
    <t>(kN)</t>
    <phoneticPr fontId="5"/>
  </si>
  <si>
    <t>作用位置</t>
    <rPh sb="0" eb="4">
      <t>サヨウイチ</t>
    </rPh>
    <phoneticPr fontId="1"/>
  </si>
  <si>
    <r>
      <t>y</t>
    </r>
    <r>
      <rPr>
        <i/>
        <vertAlign val="subscript"/>
        <sz val="11"/>
        <color rgb="FF000000"/>
        <rFont val="Times New Roman"/>
        <family val="1"/>
      </rPr>
      <t>ai</t>
    </r>
    <phoneticPr fontId="1"/>
  </si>
  <si>
    <r>
      <t>x</t>
    </r>
    <r>
      <rPr>
        <i/>
        <vertAlign val="subscript"/>
        <sz val="11"/>
        <color rgb="FF000000"/>
        <rFont val="Times New Roman"/>
        <family val="1"/>
      </rPr>
      <t>ai</t>
    </r>
    <phoneticPr fontId="1"/>
  </si>
  <si>
    <t>鉛直力</t>
    <rPh sb="0" eb="2">
      <t>エンチョク</t>
    </rPh>
    <rPh sb="2" eb="3">
      <t>リョク</t>
    </rPh>
    <phoneticPr fontId="1"/>
  </si>
  <si>
    <t>水平力</t>
    <rPh sb="0" eb="3">
      <t>スイヘイリョク</t>
    </rPh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</si>
  <si>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r>
      <rPr>
        <i/>
        <sz val="11"/>
        <color theme="1"/>
        <rFont val="Times New Roman"/>
        <family val="1"/>
      </rPr>
      <t>'</t>
    </r>
    <phoneticPr fontId="1"/>
  </si>
  <si>
    <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phoneticPr fontId="1"/>
  </si>
  <si>
    <r>
      <t>z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</si>
  <si>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r>
      <t>z</t>
    </r>
    <r>
      <rPr>
        <i/>
        <vertAlign val="subscript"/>
        <sz val="11"/>
        <color rgb="FF000000"/>
        <rFont val="Times New Roman"/>
        <family val="1"/>
      </rPr>
      <t>i</t>
    </r>
    <r>
      <rPr>
        <i/>
        <sz val="11"/>
        <color rgb="FF000000"/>
        <rFont val="Times New Roman"/>
        <family val="1"/>
      </rPr>
      <t>'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</si>
  <si>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tzi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</si>
  <si>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tzi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</si>
  <si>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Vi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</si>
  <si>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Hi</t>
    </r>
    <phoneticPr fontId="1"/>
  </si>
  <si>
    <r>
      <t>x</t>
    </r>
    <r>
      <rPr>
        <i/>
        <vertAlign val="subscript"/>
        <sz val="11"/>
        <color rgb="FF000000"/>
        <rFont val="Times New Roman"/>
        <family val="1"/>
      </rPr>
      <t>zi</t>
    </r>
    <phoneticPr fontId="1"/>
  </si>
  <si>
    <r>
      <t>y</t>
    </r>
    <r>
      <rPr>
        <i/>
        <vertAlign val="subscript"/>
        <sz val="11"/>
        <color rgb="FF000000"/>
        <rFont val="Times New Roman"/>
        <family val="1"/>
      </rPr>
      <t>zi</t>
    </r>
    <phoneticPr fontId="1"/>
  </si>
  <si>
    <t>水平成分</t>
    <rPh sb="0" eb="2">
      <t>スイヘイ</t>
    </rPh>
    <rPh sb="2" eb="4">
      <t>セイブン</t>
    </rPh>
    <phoneticPr fontId="1"/>
  </si>
  <si>
    <t>× cos</t>
    <phoneticPr fontId="1"/>
  </si>
  <si>
    <t>× sin</t>
    <phoneticPr fontId="1"/>
  </si>
  <si>
    <t>or</t>
    <phoneticPr fontId="1"/>
  </si>
  <si>
    <r>
      <t>②　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sz val="11"/>
        <color theme="1"/>
        <rFont val="游ゴシック"/>
        <family val="2"/>
        <charset val="128"/>
        <scheme val="minor"/>
      </rPr>
      <t>'=ℓ₂の場合</t>
    </r>
    <rPh sb="9" eb="11">
      <t>バアイ</t>
    </rPh>
    <phoneticPr fontId="1"/>
  </si>
  <si>
    <r>
      <t>①　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r>
      <rPr>
        <sz val="11"/>
        <color theme="1"/>
        <rFont val="游ゴシック"/>
        <family val="2"/>
        <charset val="128"/>
        <scheme val="minor"/>
      </rPr>
      <t>&lt;ℓ₂の場合</t>
    </r>
    <rPh sb="9" eb="11">
      <t>バアイ</t>
    </rPh>
    <phoneticPr fontId="1"/>
  </si>
  <si>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r>
      <rPr>
        <sz val="11"/>
        <color theme="1"/>
        <rFont val="游ゴシック"/>
        <family val="2"/>
        <charset val="128"/>
        <scheme val="minor"/>
      </rPr>
      <t>&lt;ℓ₂</t>
    </r>
    <phoneticPr fontId="1"/>
  </si>
  <si>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sz val="11"/>
        <color theme="1"/>
        <rFont val="游ゴシック"/>
        <family val="2"/>
        <charset val="128"/>
        <scheme val="minor"/>
      </rPr>
      <t>'=ℓ₂</t>
    </r>
    <phoneticPr fontId="1"/>
  </si>
  <si>
    <t>土圧</t>
    <rPh sb="0" eb="2">
      <t>ドアツ</t>
    </rPh>
    <phoneticPr fontId="1"/>
  </si>
  <si>
    <t>地盤反力</t>
    <rPh sb="0" eb="2">
      <t>ジバン</t>
    </rPh>
    <rPh sb="2" eb="4">
      <t>ハンリョク</t>
    </rPh>
    <phoneticPr fontId="1"/>
  </si>
  <si>
    <t>合計　Σ</t>
    <phoneticPr fontId="1"/>
  </si>
  <si>
    <t>底面幅</t>
    <rPh sb="0" eb="2">
      <t>テイメン</t>
    </rPh>
    <rPh sb="2" eb="3">
      <t>ハバ</t>
    </rPh>
    <phoneticPr fontId="1"/>
  </si>
  <si>
    <t>0点のモーメント</t>
    <rPh sb="1" eb="2">
      <t>テン</t>
    </rPh>
    <phoneticPr fontId="1"/>
  </si>
  <si>
    <t>偏心距離</t>
    <rPh sb="0" eb="4">
      <t>ヘンシンキョリ</t>
    </rPh>
    <phoneticPr fontId="1"/>
  </si>
  <si>
    <t>e</t>
    <phoneticPr fontId="1"/>
  </si>
  <si>
    <t>水平力</t>
    <rPh sb="0" eb="2">
      <t>スイヘイ</t>
    </rPh>
    <rPh sb="2" eb="3">
      <t>リョク</t>
    </rPh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</si>
  <si>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 xml:space="preserve"> </t>
    </r>
    <r>
      <rPr>
        <i/>
        <sz val="11"/>
        <color theme="1"/>
        <rFont val="ＭＳ 明朝"/>
        <family val="1"/>
        <charset val="128"/>
      </rPr>
      <t>－</t>
    </r>
    <r>
      <rPr>
        <i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y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</si>
  <si>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phoneticPr fontId="1"/>
  </si>
  <si>
    <t>N</t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</si>
  <si>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Times New Roman"/>
        <family val="1"/>
      </rPr>
      <t>c</t>
    </r>
    <phoneticPr fontId="1"/>
  </si>
  <si>
    <t>±</t>
    <phoneticPr fontId="1"/>
  </si>
  <si>
    <r>
      <t>N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e</t>
    </r>
    <phoneticPr fontId="1"/>
  </si>
  <si>
    <t>b</t>
    <phoneticPr fontId="5"/>
  </si>
  <si>
    <t>m²</t>
    <phoneticPr fontId="1"/>
  </si>
  <si>
    <r>
      <t>b</t>
    </r>
    <r>
      <rPr>
        <sz val="11"/>
        <color theme="1"/>
        <rFont val="Times New Roman"/>
        <family val="1"/>
      </rPr>
      <t>²</t>
    </r>
    <phoneticPr fontId="1"/>
  </si>
  <si>
    <t>軸方向力</t>
    <rPh sb="0" eb="4">
      <t>ジクホウコウチカラ</t>
    </rPh>
    <phoneticPr fontId="1"/>
  </si>
  <si>
    <t>N</t>
    <phoneticPr fontId="5"/>
  </si>
  <si>
    <t>e</t>
    <phoneticPr fontId="5"/>
  </si>
  <si>
    <t>コンクリート断面の縁応力度</t>
    <rPh sb="6" eb="8">
      <t>ダンメン</t>
    </rPh>
    <rPh sb="9" eb="10">
      <t>フチ</t>
    </rPh>
    <rPh sb="10" eb="13">
      <t>オウリョクド</t>
    </rPh>
    <phoneticPr fontId="1"/>
  </si>
  <si>
    <t>コンクリート断面の図心軸に関する断面係数</t>
    <rPh sb="6" eb="8">
      <t>ダンメン</t>
    </rPh>
    <rPh sb="9" eb="11">
      <t>ズシン</t>
    </rPh>
    <rPh sb="11" eb="12">
      <t>ジク</t>
    </rPh>
    <rPh sb="13" eb="14">
      <t>カン</t>
    </rPh>
    <rPh sb="16" eb="18">
      <t>ダンメン</t>
    </rPh>
    <rPh sb="18" eb="20">
      <t>ケイスウ</t>
    </rPh>
    <phoneticPr fontId="1"/>
  </si>
  <si>
    <t>縁応力度</t>
    <rPh sb="0" eb="1">
      <t>フチ</t>
    </rPh>
    <rPh sb="1" eb="4">
      <t>オウリョクド</t>
    </rPh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</si>
  <si>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Times New Roman"/>
        <family val="1"/>
      </rPr>
      <t>c1</t>
    </r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</si>
  <si>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HGP明朝B"/>
        <family val="1"/>
      </rPr>
      <t>c2</t>
    </r>
    <phoneticPr fontId="1"/>
  </si>
  <si>
    <t>(N/mm²)</t>
    <phoneticPr fontId="5"/>
  </si>
  <si>
    <t>判定</t>
    <rPh sb="0" eb="2">
      <t>ハンテイ</t>
    </rPh>
    <phoneticPr fontId="1"/>
  </si>
  <si>
    <t>圧縮</t>
    <rPh sb="0" eb="2">
      <t>アッシュク</t>
    </rPh>
    <phoneticPr fontId="1"/>
  </si>
  <si>
    <t>H24道擁p81</t>
    <rPh sb="3" eb="4">
      <t>ミチ</t>
    </rPh>
    <rPh sb="4" eb="5">
      <t>ヨウ</t>
    </rPh>
    <phoneticPr fontId="5"/>
  </si>
  <si>
    <t>≧</t>
    <phoneticPr fontId="1"/>
  </si>
  <si>
    <t>曲げ引張</t>
    <rPh sb="0" eb="1">
      <t>マ</t>
    </rPh>
    <rPh sb="2" eb="4">
      <t>ヒッパリ</t>
    </rPh>
    <phoneticPr fontId="1"/>
  </si>
  <si>
    <r>
      <t>τ</t>
    </r>
    <r>
      <rPr>
        <i/>
        <vertAlign val="subscript"/>
        <sz val="11"/>
        <color theme="1"/>
        <rFont val="Times New Roman"/>
        <family val="1"/>
      </rPr>
      <t>m</t>
    </r>
    <phoneticPr fontId="1"/>
  </si>
  <si>
    <t>bd</t>
    <phoneticPr fontId="1"/>
  </si>
  <si>
    <t>部材断面に生じるコンクリートの平均せん断応力度</t>
    <rPh sb="0" eb="4">
      <t>ブザイダンメン</t>
    </rPh>
    <rPh sb="5" eb="6">
      <t>ショウ</t>
    </rPh>
    <rPh sb="15" eb="17">
      <t>ヘイキン</t>
    </rPh>
    <rPh sb="19" eb="20">
      <t>ダン</t>
    </rPh>
    <rPh sb="20" eb="23">
      <t>オウリョクド</t>
    </rPh>
    <phoneticPr fontId="1"/>
  </si>
  <si>
    <t>部材のせん断力</t>
    <rPh sb="0" eb="2">
      <t>ブザイ</t>
    </rPh>
    <rPh sb="5" eb="7">
      <t>ダンリョク</t>
    </rPh>
    <phoneticPr fontId="1"/>
  </si>
  <si>
    <t>S</t>
    <phoneticPr fontId="1"/>
  </si>
  <si>
    <t>軸方向力</t>
    <rPh sb="0" eb="3">
      <t>ジクホウコウ</t>
    </rPh>
    <rPh sb="3" eb="4">
      <t>チカラ</t>
    </rPh>
    <phoneticPr fontId="1"/>
  </si>
  <si>
    <t>よって、せん断応力度を判定すると、下表のとおり。</t>
    <rPh sb="6" eb="7">
      <t>ダン</t>
    </rPh>
    <rPh sb="7" eb="10">
      <t>オウリョクド</t>
    </rPh>
    <rPh sb="11" eb="13">
      <t>ハンテイ</t>
    </rPh>
    <rPh sb="17" eb="18">
      <t>シタ</t>
    </rPh>
    <rPh sb="18" eb="19">
      <t>ヒョウ</t>
    </rPh>
    <phoneticPr fontId="1"/>
  </si>
  <si>
    <t>せん断力</t>
    <rPh sb="2" eb="3">
      <t>ダン</t>
    </rPh>
    <rPh sb="3" eb="4">
      <t>リョク</t>
    </rPh>
    <phoneticPr fontId="1"/>
  </si>
  <si>
    <t>S</t>
    <phoneticPr fontId="5"/>
  </si>
  <si>
    <t>せん断応力度</t>
    <rPh sb="2" eb="3">
      <t>ダン</t>
    </rPh>
    <rPh sb="3" eb="6">
      <t>オウリョクド</t>
    </rPh>
    <phoneticPr fontId="1"/>
  </si>
  <si>
    <r>
      <t>τ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</si>
  <si>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重要度２</t>
  </si>
  <si>
    <t>性能３</t>
  </si>
  <si>
    <t>慣用法</t>
    <rPh sb="0" eb="2">
      <t>カンヨウ</t>
    </rPh>
    <rPh sb="2" eb="3">
      <t>ホウ</t>
    </rPh>
    <phoneticPr fontId="1"/>
  </si>
  <si>
    <t>不要</t>
  </si>
  <si>
    <t>H24道擁p112, 174, 162</t>
    <rPh sb="3" eb="4">
      <t>ミチ</t>
    </rPh>
    <rPh sb="4" eb="5">
      <t>ヨウ</t>
    </rPh>
    <phoneticPr fontId="5"/>
  </si>
  <si>
    <t>H24道擁p113, 174, 162</t>
    <rPh sb="3" eb="4">
      <t>ミチ</t>
    </rPh>
    <rPh sb="4" eb="5">
      <t>ヨウ</t>
    </rPh>
    <phoneticPr fontId="5"/>
  </si>
  <si>
    <t>H24道擁p68,69,174,163</t>
    <rPh sb="3" eb="4">
      <t>ミチ</t>
    </rPh>
    <rPh sb="4" eb="5">
      <t>ヨウ</t>
    </rPh>
    <phoneticPr fontId="5"/>
  </si>
  <si>
    <t>H24道擁p175</t>
    <rPh sb="3" eb="4">
      <t>ミチ</t>
    </rPh>
    <rPh sb="4" eb="5">
      <t>ヨウ</t>
    </rPh>
    <phoneticPr fontId="5"/>
  </si>
  <si>
    <t>最小控長</t>
    <rPh sb="0" eb="2">
      <t>サイショウ</t>
    </rPh>
    <rPh sb="2" eb="3">
      <t>ヒカエ</t>
    </rPh>
    <rPh sb="3" eb="4">
      <t>ナガ</t>
    </rPh>
    <phoneticPr fontId="1"/>
  </si>
  <si>
    <t>=</t>
    <phoneticPr fontId="1"/>
  </si>
  <si>
    <t>H'</t>
    <phoneticPr fontId="1"/>
  </si>
  <si>
    <t>水平幅</t>
    <rPh sb="0" eb="3">
      <t>スイヘイハバ</t>
    </rPh>
    <phoneticPr fontId="1"/>
  </si>
  <si>
    <t>控長</t>
    <rPh sb="0" eb="1">
      <t>ヒカエ</t>
    </rPh>
    <rPh sb="1" eb="2">
      <t>ナガ</t>
    </rPh>
    <phoneticPr fontId="1"/>
  </si>
  <si>
    <t>：</t>
    <phoneticPr fontId="1"/>
  </si>
  <si>
    <r>
      <rPr>
        <sz val="11"/>
        <color theme="1"/>
        <rFont val="游ゴシック"/>
        <family val="1"/>
        <charset val="128"/>
      </rPr>
      <t>σ</t>
    </r>
    <r>
      <rPr>
        <vertAlign val="subscript"/>
        <sz val="11"/>
        <color theme="1"/>
        <rFont val="Times New Roman"/>
        <family val="1"/>
      </rPr>
      <t>ck</t>
    </r>
    <r>
      <rPr>
        <sz val="11"/>
        <color theme="1"/>
        <rFont val="Times New Roman"/>
        <family val="1"/>
      </rPr>
      <t>/</t>
    </r>
    <phoneticPr fontId="1"/>
  </si>
  <si>
    <t>無筋ｺﾝｸﾘｰﾄの許容圧縮応力度</t>
    <rPh sb="0" eb="1">
      <t>ム</t>
    </rPh>
    <rPh sb="1" eb="2">
      <t>スジ</t>
    </rPh>
    <rPh sb="9" eb="11">
      <t>キョヨウ</t>
    </rPh>
    <rPh sb="11" eb="13">
      <t>アッシュク</t>
    </rPh>
    <rPh sb="13" eb="15">
      <t>オウリョク</t>
    </rPh>
    <rPh sb="15" eb="16">
      <t>ド</t>
    </rPh>
    <phoneticPr fontId="1"/>
  </si>
  <si>
    <t>無筋ｺﾝｸﾘｰﾄの許容曲げ引張応力度</t>
    <rPh sb="0" eb="1">
      <t>ム</t>
    </rPh>
    <rPh sb="1" eb="2">
      <t>スジ</t>
    </rPh>
    <rPh sb="9" eb="11">
      <t>キョヨウ</t>
    </rPh>
    <rPh sb="11" eb="12">
      <t>マ</t>
    </rPh>
    <rPh sb="13" eb="15">
      <t>ヒッパリ</t>
    </rPh>
    <rPh sb="15" eb="17">
      <t>オウリョク</t>
    </rPh>
    <rPh sb="17" eb="18">
      <t>ド</t>
    </rPh>
    <phoneticPr fontId="1"/>
  </si>
  <si>
    <t>無筋ｺﾝｸﾘｰﾄの許容せん断応力度</t>
    <rPh sb="0" eb="1">
      <t>ム</t>
    </rPh>
    <rPh sb="1" eb="2">
      <t>スジ</t>
    </rPh>
    <rPh sb="9" eb="11">
      <t>キョヨウ</t>
    </rPh>
    <rPh sb="13" eb="14">
      <t>ダン</t>
    </rPh>
    <rPh sb="14" eb="16">
      <t>オウリョク</t>
    </rPh>
    <rPh sb="16" eb="17">
      <t>ド</t>
    </rPh>
    <phoneticPr fontId="1"/>
  </si>
  <si>
    <t>土質</t>
    <rPh sb="0" eb="2">
      <t>ドシツ</t>
    </rPh>
    <phoneticPr fontId="1"/>
  </si>
  <si>
    <r>
      <t>c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</si>
  <si>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1) 擁壁の安定性の照査</t>
    <rPh sb="3" eb="5">
      <t>ヨウヘキ</t>
    </rPh>
    <rPh sb="6" eb="9">
      <t>アンテイセイ</t>
    </rPh>
    <rPh sb="10" eb="12">
      <t>ショウサ</t>
    </rPh>
    <phoneticPr fontId="1"/>
  </si>
  <si>
    <t>①擁壁自体の安定性の照査</t>
    <rPh sb="1" eb="3">
      <t>ヨウヘキ</t>
    </rPh>
    <rPh sb="3" eb="5">
      <t>ジタイ</t>
    </rPh>
    <rPh sb="6" eb="9">
      <t>アンテイセイ</t>
    </rPh>
    <rPh sb="10" eb="12">
      <t>ショウサ</t>
    </rPh>
    <phoneticPr fontId="5"/>
  </si>
  <si>
    <t>②背面盛土及び基礎地盤を含む全体としての安定性の検討</t>
    <rPh sb="1" eb="3">
      <t>ハイメン</t>
    </rPh>
    <rPh sb="3" eb="5">
      <t>モリド</t>
    </rPh>
    <rPh sb="5" eb="6">
      <t>オヨ</t>
    </rPh>
    <rPh sb="7" eb="9">
      <t>キソ</t>
    </rPh>
    <rPh sb="9" eb="11">
      <t>ジバン</t>
    </rPh>
    <rPh sb="12" eb="13">
      <t>フク</t>
    </rPh>
    <rPh sb="14" eb="16">
      <t>ゼンタイ</t>
    </rPh>
    <rPh sb="20" eb="23">
      <t>アンテイセイ</t>
    </rPh>
    <rPh sb="24" eb="26">
      <t>ケントウ</t>
    </rPh>
    <phoneticPr fontId="5"/>
  </si>
  <si>
    <t>2) 部材の安定性の照査</t>
    <rPh sb="3" eb="5">
      <t>ブザイ</t>
    </rPh>
    <rPh sb="6" eb="9">
      <t>アンテイセイ</t>
    </rPh>
    <rPh sb="10" eb="12">
      <t>ショウサ</t>
    </rPh>
    <phoneticPr fontId="5"/>
  </si>
  <si>
    <t>許容変位</t>
    <rPh sb="0" eb="2">
      <t>キョヨウ</t>
    </rPh>
    <rPh sb="2" eb="4">
      <t>ヘンイ</t>
    </rPh>
    <phoneticPr fontId="1"/>
  </si>
  <si>
    <t>省略</t>
    <rPh sb="0" eb="2">
      <t>ショウリャク</t>
    </rPh>
    <phoneticPr fontId="1"/>
  </si>
  <si>
    <t>H24道擁p110</t>
    <rPh sb="3" eb="4">
      <t>ミチ</t>
    </rPh>
    <rPh sb="4" eb="5">
      <t>ヨウ</t>
    </rPh>
    <phoneticPr fontId="5"/>
  </si>
  <si>
    <t>2. 設計に用いる荷重</t>
    <rPh sb="3" eb="5">
      <t>セッケイ</t>
    </rPh>
    <rPh sb="6" eb="7">
      <t>モチ</t>
    </rPh>
    <rPh sb="9" eb="11">
      <t>カジュウ</t>
    </rPh>
    <phoneticPr fontId="1"/>
  </si>
  <si>
    <t>2-1. 自重</t>
    <rPh sb="5" eb="7">
      <t>ジジュウ</t>
    </rPh>
    <phoneticPr fontId="1"/>
  </si>
  <si>
    <t>擁壁を区分し、面積と重心（0点からの水平方向距離）を求める。</t>
    <phoneticPr fontId="1"/>
  </si>
  <si>
    <t>2-1-1. 天端コンクリート</t>
    <rPh sb="7" eb="9">
      <t>テンバ</t>
    </rPh>
    <phoneticPr fontId="1"/>
  </si>
  <si>
    <t>2-1-4. ブロック（最上段以外）</t>
    <rPh sb="12" eb="15">
      <t>サイジョウダン</t>
    </rPh>
    <rPh sb="15" eb="17">
      <t>イガイ</t>
    </rPh>
    <phoneticPr fontId="1"/>
  </si>
  <si>
    <t>2-1-5. 裏込めコンクリート（最上段以外）</t>
    <rPh sb="7" eb="9">
      <t>ウラコ</t>
    </rPh>
    <rPh sb="17" eb="20">
      <t>サイジョウダン</t>
    </rPh>
    <rPh sb="20" eb="22">
      <t>イガイ</t>
    </rPh>
    <phoneticPr fontId="1"/>
  </si>
  <si>
    <t>2-1-6. 基礎コンクリート</t>
    <rPh sb="7" eb="9">
      <t>キソ</t>
    </rPh>
    <phoneticPr fontId="1"/>
  </si>
  <si>
    <t>2-1-7. 自重の集計</t>
    <rPh sb="7" eb="9">
      <t>ジジュウ</t>
    </rPh>
    <rPh sb="10" eb="12">
      <t>シュウケイ</t>
    </rPh>
    <phoneticPr fontId="1"/>
  </si>
  <si>
    <t>2-1-8. 各段の基準点と、基礎部基準点からの荷重作用位置</t>
    <rPh sb="7" eb="8">
      <t>カク</t>
    </rPh>
    <rPh sb="8" eb="9">
      <t>ダン</t>
    </rPh>
    <rPh sb="10" eb="13">
      <t>キジュンテン</t>
    </rPh>
    <rPh sb="15" eb="18">
      <t>キソブ</t>
    </rPh>
    <rPh sb="18" eb="21">
      <t>キジュンテン</t>
    </rPh>
    <rPh sb="24" eb="26">
      <t>カジュウ</t>
    </rPh>
    <rPh sb="26" eb="30">
      <t>サヨウイチ</t>
    </rPh>
    <phoneticPr fontId="1"/>
  </si>
  <si>
    <t>砂質地盤（密）</t>
    <rPh sb="0" eb="2">
      <t>サシツ</t>
    </rPh>
    <rPh sb="2" eb="4">
      <t>ジバン</t>
    </rPh>
    <rPh sb="5" eb="6">
      <t>ミツ</t>
    </rPh>
    <phoneticPr fontId="1"/>
  </si>
  <si>
    <t>許容最小距離</t>
    <rPh sb="0" eb="2">
      <t>キョヨウ</t>
    </rPh>
    <rPh sb="2" eb="4">
      <t>サイショウ</t>
    </rPh>
    <rPh sb="4" eb="6">
      <t>キョリ</t>
    </rPh>
    <phoneticPr fontId="1"/>
  </si>
  <si>
    <t>下式のとおり、滑動に対する抵抗力を滑動力で除して、安全率を算出する。（H24道擁p113）</t>
    <rPh sb="0" eb="1">
      <t>シタ</t>
    </rPh>
    <rPh sb="1" eb="2">
      <t>シキ</t>
    </rPh>
    <rPh sb="7" eb="9">
      <t>カツドウ</t>
    </rPh>
    <rPh sb="10" eb="11">
      <t>タイ</t>
    </rPh>
    <rPh sb="13" eb="16">
      <t>テイコウリョク</t>
    </rPh>
    <rPh sb="17" eb="19">
      <t>カツドウ</t>
    </rPh>
    <rPh sb="19" eb="20">
      <t>リョク</t>
    </rPh>
    <rPh sb="21" eb="22">
      <t>ジョ</t>
    </rPh>
    <rPh sb="25" eb="27">
      <t>アンゼン</t>
    </rPh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</si>
  <si>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r>
      <rPr>
        <i/>
        <sz val="11"/>
        <color theme="1"/>
        <rFont val="游ゴシック"/>
        <family val="1"/>
        <charset val="128"/>
      </rPr>
      <t>・</t>
    </r>
    <phoneticPr fontId="5"/>
  </si>
  <si>
    <t>+</t>
    <phoneticPr fontId="5"/>
  </si>
  <si>
    <r>
      <rPr>
        <i/>
        <sz val="11"/>
        <color theme="1"/>
        <rFont val="Times New Roman"/>
        <family val="1"/>
      </rPr>
      <t>c</t>
    </r>
    <r>
      <rPr>
        <i/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游ゴシック"/>
        <family val="2"/>
      </rPr>
      <t>・</t>
    </r>
    <phoneticPr fontId="5"/>
  </si>
  <si>
    <t>B'</t>
    <phoneticPr fontId="5"/>
  </si>
  <si>
    <r>
      <t>このうち、付着力</t>
    </r>
    <r>
      <rPr>
        <i/>
        <sz val="11"/>
        <color theme="1"/>
        <rFont val="Times New Roman"/>
        <family val="1"/>
      </rPr>
      <t>c</t>
    </r>
    <r>
      <rPr>
        <i/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=0</t>
    </r>
    <r>
      <rPr>
        <sz val="11"/>
        <color theme="1"/>
        <rFont val="游ゴシック"/>
        <family val="2"/>
        <charset val="128"/>
        <scheme val="minor"/>
      </rPr>
      <t>であるため、下式のとおり、安全率を算出する。</t>
    </r>
    <rPh sb="5" eb="8">
      <t>フチャクリョク</t>
    </rPh>
    <rPh sb="18" eb="19">
      <t>シタ</t>
    </rPh>
    <rPh sb="19" eb="20">
      <t>シキ</t>
    </rPh>
    <rPh sb="25" eb="27">
      <t>アンゼン</t>
    </rPh>
    <rPh sb="27" eb="28">
      <t>リツ</t>
    </rPh>
    <rPh sb="29" eb="31">
      <t>サンシュツ</t>
    </rPh>
    <phoneticPr fontId="5"/>
  </si>
  <si>
    <r>
      <t>擁壁底面のつま先回りの作用モーメント</t>
    </r>
    <r>
      <rPr>
        <sz val="11"/>
        <color theme="1"/>
        <rFont val="Times New Roman"/>
        <family val="1"/>
      </rPr>
      <t>(kN</t>
    </r>
    <r>
      <rPr>
        <sz val="11"/>
        <color theme="1"/>
        <rFont val="游ゴシック"/>
        <family val="2"/>
        <charset val="128"/>
      </rPr>
      <t>・</t>
    </r>
    <r>
      <rPr>
        <sz val="11"/>
        <color theme="1"/>
        <rFont val="Times New Roman"/>
        <family val="1"/>
      </rPr>
      <t>m/m)</t>
    </r>
    <rPh sb="0" eb="2">
      <t>ヨウヘキ</t>
    </rPh>
    <rPh sb="2" eb="4">
      <t>テイメン</t>
    </rPh>
    <rPh sb="7" eb="8">
      <t>サキ</t>
    </rPh>
    <rPh sb="8" eb="9">
      <t>マワ</t>
    </rPh>
    <rPh sb="11" eb="13">
      <t>サヨウ</t>
    </rPh>
    <phoneticPr fontId="1"/>
  </si>
  <si>
    <t>θ</t>
    <phoneticPr fontId="1"/>
  </si>
  <si>
    <t>壁面傾斜角(壁面より左回り正)</t>
    <rPh sb="0" eb="2">
      <t>ヘキメン</t>
    </rPh>
    <rPh sb="2" eb="4">
      <t>ケイシャ</t>
    </rPh>
    <rPh sb="4" eb="5">
      <t>カク</t>
    </rPh>
    <rPh sb="6" eb="8">
      <t>ヘキメン</t>
    </rPh>
    <rPh sb="10" eb="11">
      <t>ヒダリ</t>
    </rPh>
    <rPh sb="11" eb="12">
      <t>マワ</t>
    </rPh>
    <rPh sb="13" eb="14">
      <t>セイ</t>
    </rPh>
    <phoneticPr fontId="1"/>
  </si>
  <si>
    <r>
      <t>n</t>
    </r>
    <r>
      <rPr>
        <i/>
        <vertAlign val="subscript"/>
        <sz val="11"/>
        <color theme="1"/>
        <rFont val="Times New Roman"/>
        <family val="1"/>
      </rPr>
      <t>r</t>
    </r>
    <phoneticPr fontId="1"/>
  </si>
  <si>
    <t>擁壁自体の安定性を照査する。</t>
    <rPh sb="0" eb="2">
      <t>ヨウヘキ</t>
    </rPh>
    <rPh sb="2" eb="4">
      <t>ジタイ</t>
    </rPh>
    <rPh sb="5" eb="8">
      <t>アンテイセイ</t>
    </rPh>
    <rPh sb="9" eb="11">
      <t>ショウサ</t>
    </rPh>
    <phoneticPr fontId="1"/>
  </si>
  <si>
    <t>「2-1. 自重」で算出した値とする。</t>
    <rPh sb="6" eb="8">
      <t>ジジュウ</t>
    </rPh>
    <rPh sb="10" eb="12">
      <t>サンシュツ</t>
    </rPh>
    <rPh sb="14" eb="15">
      <t>アタイ</t>
    </rPh>
    <phoneticPr fontId="1"/>
  </si>
  <si>
    <t>各ブロック（各段）の下面での応力度を照査する。</t>
    <rPh sb="0" eb="1">
      <t>カク</t>
    </rPh>
    <rPh sb="6" eb="7">
      <t>カク</t>
    </rPh>
    <rPh sb="7" eb="8">
      <t>ダン</t>
    </rPh>
    <rPh sb="10" eb="12">
      <t>シタメン</t>
    </rPh>
    <rPh sb="14" eb="17">
      <t>オウリョクド</t>
    </rPh>
    <rPh sb="18" eb="20">
      <t>ショウサ</t>
    </rPh>
    <phoneticPr fontId="1"/>
  </si>
  <si>
    <r>
      <t xml:space="preserve">壁面地盤反力度が作用する背面の延長 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 xml:space="preserve">' </t>
    </r>
    <r>
      <rPr>
        <sz val="11"/>
        <color theme="1"/>
        <rFont val="游ゴシック"/>
        <family val="2"/>
        <charset val="128"/>
        <scheme val="minor"/>
      </rPr>
      <t>は下式で算出できる。</t>
    </r>
    <rPh sb="0" eb="6">
      <t>ヘキメンジバンハンリョク</t>
    </rPh>
    <rPh sb="6" eb="7">
      <t>ド</t>
    </rPh>
    <rPh sb="8" eb="10">
      <t>サヨウ</t>
    </rPh>
    <rPh sb="12" eb="14">
      <t>ハイメン</t>
    </rPh>
    <rPh sb="15" eb="17">
      <t>エンチョウ</t>
    </rPh>
    <rPh sb="23" eb="24">
      <t>シタ</t>
    </rPh>
    <rPh sb="24" eb="25">
      <t>シキ</t>
    </rPh>
    <rPh sb="26" eb="28">
      <t>サンシュツ</t>
    </rPh>
    <phoneticPr fontId="1"/>
  </si>
  <si>
    <r>
      <t xml:space="preserve">照査断面位置の壁面地盤反力度 </t>
    </r>
    <r>
      <rPr>
        <i/>
        <sz val="11"/>
        <color theme="1"/>
        <rFont val="Times New Roman"/>
        <family val="1"/>
      </rPr>
      <t>q</t>
    </r>
    <r>
      <rPr>
        <i/>
        <vertAlign val="subscript"/>
        <sz val="11"/>
        <color theme="1"/>
        <rFont val="Times New Roman"/>
        <family val="1"/>
      </rPr>
      <t>t</t>
    </r>
    <r>
      <rPr>
        <sz val="11"/>
        <color theme="1"/>
        <rFont val="游ゴシック"/>
        <family val="2"/>
        <charset val="128"/>
        <scheme val="minor"/>
      </rPr>
      <t>' は、三角形の相似より</t>
    </r>
    <rPh sb="0" eb="2">
      <t>ショウサ</t>
    </rPh>
    <rPh sb="2" eb="4">
      <t>ダンメン</t>
    </rPh>
    <rPh sb="4" eb="6">
      <t>イチ</t>
    </rPh>
    <rPh sb="7" eb="13">
      <t>ヘキメンジバンハンリョク</t>
    </rPh>
    <rPh sb="13" eb="14">
      <t>ド</t>
    </rPh>
    <rPh sb="21" eb="24">
      <t>サンカクケイ</t>
    </rPh>
    <rPh sb="25" eb="27">
      <t>ソウジ</t>
    </rPh>
    <phoneticPr fontId="1"/>
  </si>
  <si>
    <t>下式で算出できる。</t>
    <phoneticPr fontId="1"/>
  </si>
  <si>
    <r>
      <t xml:space="preserve">壁面地盤反力の合力 </t>
    </r>
    <r>
      <rPr>
        <i/>
        <sz val="11"/>
        <color theme="1"/>
        <rFont val="Times New Roman"/>
        <family val="1"/>
      </rPr>
      <t>Q</t>
    </r>
    <r>
      <rPr>
        <i/>
        <vertAlign val="subscript"/>
        <sz val="11"/>
        <color theme="1"/>
        <rFont val="Times New Roman"/>
        <family val="1"/>
      </rPr>
      <t>tzi</t>
    </r>
    <r>
      <rPr>
        <sz val="11"/>
        <color theme="1"/>
        <rFont val="游ゴシック"/>
        <family val="2"/>
        <charset val="128"/>
        <scheme val="minor"/>
      </rPr>
      <t xml:space="preserve"> は台形の面積なので、下式で算出できる。</t>
    </r>
    <rPh sb="0" eb="6">
      <t>ヘキメンジバンハンリョク</t>
    </rPh>
    <rPh sb="7" eb="9">
      <t>ゴウリョク</t>
    </rPh>
    <rPh sb="16" eb="18">
      <t>ダイケイ</t>
    </rPh>
    <rPh sb="19" eb="21">
      <t>メンセキ</t>
    </rPh>
    <rPh sb="25" eb="27">
      <t>シタシキ</t>
    </rPh>
    <rPh sb="28" eb="30">
      <t>サンシュツ</t>
    </rPh>
    <phoneticPr fontId="1"/>
  </si>
  <si>
    <r>
      <t>(kN</t>
    </r>
    <r>
      <rPr>
        <sz val="11"/>
        <color theme="1"/>
        <rFont val="Yu Gothic"/>
        <family val="1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</si>
  <si>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r>
      <t>(kN</t>
    </r>
    <r>
      <rPr>
        <sz val="11"/>
        <color theme="1"/>
        <rFont val="ＭＳ Ｐ明朝"/>
        <family val="1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</si>
  <si>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t>1-10. 照査における許容値</t>
    <rPh sb="6" eb="8">
      <t>ショウサ</t>
    </rPh>
    <rPh sb="12" eb="15">
      <t>キョヨウチ</t>
    </rPh>
    <phoneticPr fontId="1"/>
  </si>
  <si>
    <t>(H24道擁p161,175)</t>
    <rPh sb="4" eb="5">
      <t>ミチ</t>
    </rPh>
    <rPh sb="5" eb="6">
      <t>ヨウ</t>
    </rPh>
    <phoneticPr fontId="5"/>
  </si>
  <si>
    <t>最上段</t>
    <rPh sb="0" eb="2">
      <t>サイジョウ</t>
    </rPh>
    <rPh sb="2" eb="3">
      <t>ダン</t>
    </rPh>
    <phoneticPr fontId="5"/>
  </si>
  <si>
    <t>1-6. 使用材料（大型ブロック）</t>
    <rPh sb="5" eb="9">
      <t>シヨウザイリョウ</t>
    </rPh>
    <rPh sb="10" eb="12">
      <t>オオガタ</t>
    </rPh>
    <phoneticPr fontId="5"/>
  </si>
  <si>
    <t>H24道擁p166,170</t>
    <rPh sb="3" eb="4">
      <t>ミチ</t>
    </rPh>
    <rPh sb="4" eb="5">
      <t>ヨウ</t>
    </rPh>
    <phoneticPr fontId="5"/>
  </si>
  <si>
    <t>2-1-2. ブロック（最上段）</t>
    <rPh sb="12" eb="14">
      <t>サイジョウ</t>
    </rPh>
    <rPh sb="14" eb="15">
      <t>ダン</t>
    </rPh>
    <phoneticPr fontId="1"/>
  </si>
  <si>
    <t>2-1-3. 裏込めコンクリート（最上段)</t>
    <rPh sb="7" eb="9">
      <t>ウラゴ</t>
    </rPh>
    <rPh sb="17" eb="19">
      <t>サイジョウ</t>
    </rPh>
    <rPh sb="19" eb="20">
      <t>ダン</t>
    </rPh>
    <phoneticPr fontId="1"/>
  </si>
  <si>
    <r>
      <t>(kN</t>
    </r>
    <r>
      <rPr>
        <sz val="11"/>
        <color theme="1"/>
        <rFont val="游ゴシック"/>
        <family val="2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</si>
  <si>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r>
      <t>P</t>
    </r>
    <r>
      <rPr>
        <i/>
        <vertAlign val="subscript"/>
        <sz val="11"/>
        <color rgb="FF000000"/>
        <rFont val="Times New Roman"/>
        <family val="1"/>
      </rPr>
      <t>iH</t>
    </r>
    <phoneticPr fontId="1"/>
  </si>
  <si>
    <r>
      <t>P</t>
    </r>
    <r>
      <rPr>
        <i/>
        <vertAlign val="subscript"/>
        <sz val="11"/>
        <color rgb="FF000000"/>
        <rFont val="Times New Roman"/>
        <family val="1"/>
      </rPr>
      <t>iV</t>
    </r>
    <phoneticPr fontId="1"/>
  </si>
  <si>
    <r>
      <t>-Q</t>
    </r>
    <r>
      <rPr>
        <i/>
        <vertAlign val="subscript"/>
        <sz val="11"/>
        <color theme="1"/>
        <rFont val="Times New Roman"/>
        <family val="1"/>
      </rPr>
      <t>tzi</t>
    </r>
    <phoneticPr fontId="1"/>
  </si>
  <si>
    <t>鉛直力、水平力、モーメント</t>
    <rPh sb="0" eb="3">
      <t>エンチョクリョク</t>
    </rPh>
    <rPh sb="4" eb="7">
      <t>スイヘイリョク</t>
    </rPh>
    <phoneticPr fontId="1"/>
  </si>
  <si>
    <r>
      <t>コンクリート断面の図心軸から軸方向力の作用点までの距離（偏心距離</t>
    </r>
    <r>
      <rPr>
        <i/>
        <sz val="11"/>
        <color theme="1"/>
        <rFont val="Times New Roman"/>
        <family val="1"/>
      </rPr>
      <t>e</t>
    </r>
    <r>
      <rPr>
        <sz val="11"/>
        <color theme="1"/>
        <rFont val="游ゴシック"/>
        <family val="2"/>
        <charset val="128"/>
        <scheme val="minor"/>
      </rPr>
      <t>）は下式で算出できる。</t>
    </r>
    <rPh sb="28" eb="30">
      <t>ヘンシン</t>
    </rPh>
    <rPh sb="30" eb="32">
      <t>キョリ</t>
    </rPh>
    <rPh sb="35" eb="37">
      <t>シタシキ</t>
    </rPh>
    <rPh sb="38" eb="40">
      <t>サンシュツ</t>
    </rPh>
    <phoneticPr fontId="1"/>
  </si>
  <si>
    <t>無筋コンクリート部材断面に生じる圧縮（曲げ引張）応力度は下式で算出できる。（H24道擁143）</t>
    <rPh sb="0" eb="2">
      <t>ムキン</t>
    </rPh>
    <rPh sb="8" eb="10">
      <t>ブザイ</t>
    </rPh>
    <rPh sb="10" eb="12">
      <t>ダンメン</t>
    </rPh>
    <rPh sb="13" eb="14">
      <t>ショウ</t>
    </rPh>
    <rPh sb="16" eb="18">
      <t>アッシュク</t>
    </rPh>
    <rPh sb="19" eb="20">
      <t>マ</t>
    </rPh>
    <rPh sb="21" eb="23">
      <t>ヒッパリ</t>
    </rPh>
    <rPh sb="24" eb="26">
      <t>オウリョク</t>
    </rPh>
    <rPh sb="26" eb="27">
      <t>ド</t>
    </rPh>
    <rPh sb="28" eb="29">
      <t>シタ</t>
    </rPh>
    <rPh sb="29" eb="30">
      <t>シキ</t>
    </rPh>
    <rPh sb="31" eb="33">
      <t>サンシュツ</t>
    </rPh>
    <rPh sb="41" eb="42">
      <t>ミチ</t>
    </rPh>
    <rPh sb="42" eb="43">
      <t>ヨウ</t>
    </rPh>
    <phoneticPr fontId="1"/>
  </si>
  <si>
    <t>m³</t>
    <phoneticPr fontId="1"/>
  </si>
  <si>
    <t>よって、縁応力度（圧縮：正、曲げ引張：負）を判定すると、下表のとおり。</t>
    <phoneticPr fontId="1"/>
  </si>
  <si>
    <t>コンクリート全断面積（延長方向は1.0mとする。）</t>
    <rPh sb="6" eb="10">
      <t>ゼンダンメンセキ</t>
    </rPh>
    <phoneticPr fontId="1"/>
  </si>
  <si>
    <t>無筋コンクリート部材断面に生じる平均せん断応力度は下式で算出できる。（H24道擁145）</t>
    <rPh sb="0" eb="2">
      <t>ムキン</t>
    </rPh>
    <rPh sb="8" eb="10">
      <t>ブザイ</t>
    </rPh>
    <rPh sb="10" eb="12">
      <t>ダンメン</t>
    </rPh>
    <rPh sb="13" eb="14">
      <t>ショウ</t>
    </rPh>
    <rPh sb="16" eb="18">
      <t>ヘイキン</t>
    </rPh>
    <rPh sb="20" eb="21">
      <t>ダン</t>
    </rPh>
    <rPh sb="21" eb="23">
      <t>オウリョク</t>
    </rPh>
    <rPh sb="23" eb="24">
      <t>ド</t>
    </rPh>
    <rPh sb="25" eb="26">
      <t>シタ</t>
    </rPh>
    <rPh sb="26" eb="27">
      <t>シキ</t>
    </rPh>
    <rPh sb="28" eb="30">
      <t>サンシュツ</t>
    </rPh>
    <rPh sb="38" eb="39">
      <t>ミチ</t>
    </rPh>
    <rPh sb="39" eb="40">
      <t>ヨウ</t>
    </rPh>
    <phoneticPr fontId="1"/>
  </si>
  <si>
    <t>下記に示す設計プロセスは「擁壁上の嵩上げ盛土なし、砂質地盤、擁壁高さ8m以下」が適用範囲です。</t>
    <rPh sb="17" eb="19">
      <t>カサア</t>
    </rPh>
    <rPh sb="20" eb="22">
      <t>モリド</t>
    </rPh>
    <rPh sb="25" eb="27">
      <t>サシツ</t>
    </rPh>
    <rPh sb="27" eb="29">
      <t>ジバン</t>
    </rPh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</si>
  <si>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w</t>
    </r>
    <phoneticPr fontId="1"/>
  </si>
  <si>
    <t>水の単位体積重量</t>
    <rPh sb="0" eb="1">
      <t>ミズ</t>
    </rPh>
    <rPh sb="2" eb="4">
      <t>タンイ</t>
    </rPh>
    <rPh sb="4" eb="6">
      <t>タイセキ</t>
    </rPh>
    <rPh sb="6" eb="8">
      <t>ジュウリョウ</t>
    </rPh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</si>
  <si>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w</t>
    </r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</si>
  <si>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w</t>
    </r>
    <phoneticPr fontId="1"/>
  </si>
  <si>
    <t>・(</t>
    <phoneticPr fontId="1"/>
  </si>
  <si>
    <t>土塊の水位部の幅(m)</t>
    <rPh sb="0" eb="1">
      <t>ツチ</t>
    </rPh>
    <rPh sb="1" eb="2">
      <t>カタマリ</t>
    </rPh>
    <rPh sb="3" eb="5">
      <t>スイイ</t>
    </rPh>
    <rPh sb="5" eb="6">
      <t>ブ</t>
    </rPh>
    <rPh sb="7" eb="8">
      <t>ハバ</t>
    </rPh>
    <phoneticPr fontId="5"/>
  </si>
  <si>
    <t>)・</t>
    <phoneticPr fontId="1"/>
  </si>
  <si>
    <r>
      <t>γ</t>
    </r>
    <r>
      <rPr>
        <vertAlign val="subscript"/>
        <sz val="11"/>
        <color theme="1"/>
        <rFont val="HGP明朝E"/>
        <family val="1"/>
        <charset val="128"/>
      </rPr>
      <t>w</t>
    </r>
    <phoneticPr fontId="1"/>
  </si>
  <si>
    <t>浮力</t>
    <rPh sb="0" eb="2">
      <t>フリョク</t>
    </rPh>
    <phoneticPr fontId="1"/>
  </si>
  <si>
    <t>(kN/m³)</t>
    <phoneticPr fontId="5"/>
  </si>
  <si>
    <t>水位</t>
    <rPh sb="0" eb="2">
      <t>スイイ</t>
    </rPh>
    <phoneticPr fontId="1"/>
  </si>
  <si>
    <t>下端高さ</t>
    <rPh sb="0" eb="1">
      <t>シタ</t>
    </rPh>
    <rPh sb="1" eb="2">
      <t>ハシ</t>
    </rPh>
    <rPh sb="2" eb="3">
      <t>タカ</t>
    </rPh>
    <phoneticPr fontId="1"/>
  </si>
  <si>
    <t>浮力作用高</t>
    <rPh sb="0" eb="2">
      <t>フリョク</t>
    </rPh>
    <rPh sb="2" eb="4">
      <t>サヨウ</t>
    </rPh>
    <rPh sb="4" eb="5">
      <t>タカ</t>
    </rPh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</si>
  <si>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f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</si>
  <si>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u</t>
    </r>
    <phoneticPr fontId="1"/>
  </si>
  <si>
    <r>
      <t>A</t>
    </r>
    <r>
      <rPr>
        <sz val="11"/>
        <color theme="1"/>
        <rFont val="HGP明朝E"/>
        <family val="1"/>
        <charset val="128"/>
      </rPr>
      <t>・γ</t>
    </r>
    <r>
      <rPr>
        <vertAlign val="subscript"/>
        <sz val="11"/>
        <color theme="1"/>
        <rFont val="HGP明朝E"/>
        <family val="1"/>
        <charset val="128"/>
      </rPr>
      <t>w</t>
    </r>
    <phoneticPr fontId="1"/>
  </si>
  <si>
    <t>全体幅</t>
    <rPh sb="0" eb="2">
      <t>ゼンタイ</t>
    </rPh>
    <rPh sb="2" eb="3">
      <t>ハバ</t>
    </rPh>
    <phoneticPr fontId="1"/>
  </si>
  <si>
    <t>(m)</t>
    <phoneticPr fontId="1"/>
  </si>
  <si>
    <r>
      <t>γ</t>
    </r>
    <r>
      <rPr>
        <vertAlign val="subscript"/>
        <sz val="11"/>
        <color theme="1"/>
        <rFont val="HGP明朝E"/>
        <family val="1"/>
        <charset val="128"/>
      </rPr>
      <t>s</t>
    </r>
    <r>
      <rPr>
        <sz val="11"/>
        <color theme="1"/>
        <rFont val="HGP明朝E"/>
        <family val="1"/>
        <charset val="128"/>
      </rPr>
      <t>'</t>
    </r>
    <phoneticPr fontId="1"/>
  </si>
  <si>
    <t>単位体積重量（水中重量）</t>
    <rPh sb="0" eb="2">
      <t>タンイ</t>
    </rPh>
    <rPh sb="2" eb="4">
      <t>タイセキ</t>
    </rPh>
    <rPh sb="4" eb="6">
      <t>ジュウリョウ</t>
    </rPh>
    <rPh sb="7" eb="9">
      <t>スイチュウ</t>
    </rPh>
    <rPh sb="9" eb="11">
      <t>ジュウリョウ</t>
    </rPh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</si>
  <si>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s'</t>
    </r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</si>
  <si>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s</t>
    </r>
    <r>
      <rPr>
        <sz val="11"/>
        <color theme="1"/>
        <rFont val="HGP明朝B"/>
        <family val="1"/>
        <charset val="128"/>
      </rPr>
      <t>'</t>
    </r>
    <phoneticPr fontId="1"/>
  </si>
  <si>
    <t>© 2024 ce-note.com</t>
    <phoneticPr fontId="1"/>
  </si>
  <si>
    <t>=</t>
    <phoneticPr fontId="1"/>
  </si>
  <si>
    <t>－</t>
    <phoneticPr fontId="1"/>
  </si>
  <si>
    <t>浮力</t>
    <rPh sb="0" eb="2">
      <t>フリョク</t>
    </rPh>
    <phoneticPr fontId="5"/>
  </si>
  <si>
    <t>地下水位（最も不利な条件で設定）</t>
    <rPh sb="0" eb="4">
      <t>チカスイイ</t>
    </rPh>
    <rPh sb="5" eb="6">
      <t>モット</t>
    </rPh>
    <rPh sb="7" eb="9">
      <t>フリ</t>
    </rPh>
    <rPh sb="10" eb="12">
      <t>ジョウケン</t>
    </rPh>
    <rPh sb="13" eb="15">
      <t>セッテイ</t>
    </rPh>
    <phoneticPr fontId="5"/>
  </si>
  <si>
    <t>大型ブロック積み擁壁の設計計算例 ー河川護岸、もたれ式擁壁準拠の場合ー</t>
    <rPh sb="0" eb="2">
      <t>オオガタ</t>
    </rPh>
    <rPh sb="6" eb="7">
      <t>ヅ</t>
    </rPh>
    <rPh sb="8" eb="10">
      <t>ヨウヘキ</t>
    </rPh>
    <rPh sb="11" eb="13">
      <t>セッケイ</t>
    </rPh>
    <rPh sb="13" eb="16">
      <t>ケイサンレイ</t>
    </rPh>
    <rPh sb="18" eb="20">
      <t>カセン</t>
    </rPh>
    <rPh sb="20" eb="22">
      <t>ゴガン</t>
    </rPh>
    <rPh sb="26" eb="27">
      <t>シキ</t>
    </rPh>
    <rPh sb="27" eb="29">
      <t>ヨウヘキ</t>
    </rPh>
    <rPh sb="29" eb="31">
      <t>ジュンキョ</t>
    </rPh>
    <phoneticPr fontId="1"/>
  </si>
  <si>
    <t>4-1. 荷重の計算</t>
    <rPh sb="5" eb="7">
      <t>カジュウ</t>
    </rPh>
    <rPh sb="8" eb="10">
      <t>ケイサン</t>
    </rPh>
    <phoneticPr fontId="1"/>
  </si>
  <si>
    <t>4-1-1. 自重</t>
    <rPh sb="7" eb="9">
      <t>ジジュウ</t>
    </rPh>
    <phoneticPr fontId="1"/>
  </si>
  <si>
    <t>4-1-2. 土圧</t>
    <rPh sb="7" eb="9">
      <t>ドアツ</t>
    </rPh>
    <phoneticPr fontId="1"/>
  </si>
  <si>
    <t>4-2. 荷重の集計</t>
    <rPh sb="5" eb="7">
      <t>カジュウ</t>
    </rPh>
    <rPh sb="8" eb="10">
      <t>シュウケイ</t>
    </rPh>
    <phoneticPr fontId="1"/>
  </si>
  <si>
    <t>4-2-1. 6段目</t>
    <rPh sb="8" eb="10">
      <t>ダンメ</t>
    </rPh>
    <phoneticPr fontId="1"/>
  </si>
  <si>
    <t>4-2-2. 5段目</t>
    <rPh sb="8" eb="10">
      <t>ダンメ</t>
    </rPh>
    <phoneticPr fontId="1"/>
  </si>
  <si>
    <t>4-2-3. 4段目</t>
    <rPh sb="8" eb="10">
      <t>ダンメ</t>
    </rPh>
    <phoneticPr fontId="1"/>
  </si>
  <si>
    <t>4-2-4. 3段目</t>
    <rPh sb="8" eb="10">
      <t>ダンメ</t>
    </rPh>
    <phoneticPr fontId="1"/>
  </si>
  <si>
    <t>4-2-5. 2段目</t>
    <rPh sb="8" eb="10">
      <t>ダンメ</t>
    </rPh>
    <phoneticPr fontId="1"/>
  </si>
  <si>
    <t>4-2-6. １段目</t>
    <rPh sb="8" eb="10">
      <t>ダンメ</t>
    </rPh>
    <phoneticPr fontId="1"/>
  </si>
  <si>
    <t>4-3. 応力度算出と判定</t>
    <rPh sb="5" eb="8">
      <t>オウリョクド</t>
    </rPh>
    <rPh sb="8" eb="10">
      <t>サンシュツ</t>
    </rPh>
    <rPh sb="11" eb="13">
      <t>ハンテイ</t>
    </rPh>
    <phoneticPr fontId="1"/>
  </si>
  <si>
    <t>水位</t>
    <rPh sb="0" eb="2">
      <t>スイイ</t>
    </rPh>
    <phoneticPr fontId="5"/>
  </si>
  <si>
    <t>土圧</t>
    <rPh sb="0" eb="2">
      <t>ドアツ</t>
    </rPh>
    <phoneticPr fontId="5"/>
  </si>
  <si>
    <t>考慮</t>
  </si>
  <si>
    <t>(m²)</t>
    <phoneticPr fontId="5"/>
  </si>
  <si>
    <r>
      <t>B=h</t>
    </r>
    <r>
      <rPr>
        <i/>
        <vertAlign val="subscript"/>
        <sz val="11"/>
        <color theme="1"/>
        <rFont val="Times New Roman"/>
        <family val="1"/>
      </rPr>
      <t>f</t>
    </r>
    <r>
      <rPr>
        <i/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n+b</t>
    </r>
    <phoneticPr fontId="1"/>
  </si>
  <si>
    <r>
      <t>x</t>
    </r>
    <r>
      <rPr>
        <vertAlign val="subscript"/>
        <sz val="11"/>
        <color theme="1"/>
        <rFont val="Times New Roman"/>
        <family val="1"/>
      </rPr>
      <t>G</t>
    </r>
    <r>
      <rPr>
        <i/>
        <sz val="11"/>
        <color theme="1"/>
        <rFont val="Times New Roman"/>
        <family val="1"/>
      </rPr>
      <t>=B/2</t>
    </r>
    <phoneticPr fontId="1"/>
  </si>
  <si>
    <r>
      <t>A=h</t>
    </r>
    <r>
      <rPr>
        <i/>
        <vertAlign val="subscript"/>
        <sz val="11"/>
        <color theme="1"/>
        <rFont val="Times New Roman"/>
        <family val="1"/>
      </rPr>
      <t>f</t>
    </r>
    <r>
      <rPr>
        <i/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b</t>
    </r>
    <phoneticPr fontId="1"/>
  </si>
  <si>
    <t>3. 擁壁の安定性の照査</t>
    <rPh sb="3" eb="5">
      <t>ヨウヘキ</t>
    </rPh>
    <rPh sb="6" eb="9">
      <t>アンテイセイ</t>
    </rPh>
    <rPh sb="10" eb="12">
      <t>ショウサ</t>
    </rPh>
    <phoneticPr fontId="1"/>
  </si>
  <si>
    <t>3-1. 作用力の集計</t>
    <rPh sb="5" eb="8">
      <t>サヨウリョク</t>
    </rPh>
    <rPh sb="9" eb="11">
      <t>シュウケイ</t>
    </rPh>
    <phoneticPr fontId="5"/>
  </si>
  <si>
    <t>3-2. 転倒に対する照査</t>
    <phoneticPr fontId="5"/>
  </si>
  <si>
    <t>3-3. 滑動に対する照査</t>
    <phoneticPr fontId="5"/>
  </si>
  <si>
    <t>3-4. 支持に対する照査</t>
    <phoneticPr fontId="5"/>
  </si>
  <si>
    <t>4. 部材の安定性の照査（水位考慮）</t>
    <rPh sb="13" eb="15">
      <t>スイイ</t>
    </rPh>
    <rPh sb="15" eb="17">
      <t>コウリョ</t>
    </rPh>
    <phoneticPr fontId="5"/>
  </si>
  <si>
    <t>4-1-3. 浮力</t>
    <rPh sb="7" eb="9">
      <t>フリョク</t>
    </rPh>
    <phoneticPr fontId="1"/>
  </si>
  <si>
    <t>4-1-4. 壁面地盤反力</t>
    <rPh sb="7" eb="9">
      <t>ヘキメン</t>
    </rPh>
    <rPh sb="8" eb="9">
      <t>メン</t>
    </rPh>
    <rPh sb="9" eb="13">
      <t>ジバンハンリョク</t>
    </rPh>
    <phoneticPr fontId="1"/>
  </si>
  <si>
    <r>
      <t>x</t>
    </r>
    <r>
      <rPr>
        <vertAlign val="subscript"/>
        <sz val="11"/>
        <color theme="1"/>
        <rFont val="Times New Roman"/>
        <family val="1"/>
      </rPr>
      <t>S</t>
    </r>
    <r>
      <rPr>
        <i/>
        <sz val="11"/>
        <color theme="1"/>
        <rFont val="Times New Roman"/>
        <family val="1"/>
      </rPr>
      <t>=x+x</t>
    </r>
    <r>
      <rPr>
        <i/>
        <vertAlign val="subscript"/>
        <sz val="11"/>
        <color theme="1"/>
        <rFont val="Times New Roman"/>
        <family val="1"/>
      </rPr>
      <t>G</t>
    </r>
    <phoneticPr fontId="1"/>
  </si>
  <si>
    <t>各段の高さ</t>
    <rPh sb="0" eb="1">
      <t>カク</t>
    </rPh>
    <rPh sb="1" eb="2">
      <t>ダン</t>
    </rPh>
    <rPh sb="3" eb="4">
      <t>タカ</t>
    </rPh>
    <phoneticPr fontId="1"/>
  </si>
  <si>
    <t>各段の下幅</t>
    <rPh sb="0" eb="2">
      <t>カクダン</t>
    </rPh>
    <rPh sb="3" eb="4">
      <t>シタ</t>
    </rPh>
    <rPh sb="4" eb="5">
      <t>ハバ</t>
    </rPh>
    <phoneticPr fontId="1"/>
  </si>
  <si>
    <t>各段の下幅</t>
    <rPh sb="0" eb="1">
      <t>カク</t>
    </rPh>
    <rPh sb="1" eb="2">
      <t>ダン</t>
    </rPh>
    <rPh sb="3" eb="4">
      <t>シタ</t>
    </rPh>
    <rPh sb="4" eb="5">
      <t>ハバ</t>
    </rPh>
    <phoneticPr fontId="1"/>
  </si>
  <si>
    <t>前述の「3-4.支持に対する照査」と同様、簡便法で計算する。（H24道擁p164）</t>
    <rPh sb="0" eb="2">
      <t>ゼンジュツ</t>
    </rPh>
    <rPh sb="8" eb="10">
      <t>シジ</t>
    </rPh>
    <rPh sb="11" eb="12">
      <t>タイ</t>
    </rPh>
    <rPh sb="14" eb="16">
      <t>ショウサ</t>
    </rPh>
    <rPh sb="18" eb="20">
      <t>ドウヨウ</t>
    </rPh>
    <phoneticPr fontId="1"/>
  </si>
  <si>
    <t>「3-4.支持に対する照査」より</t>
    <rPh sb="5" eb="7">
      <t>シジ</t>
    </rPh>
    <rPh sb="8" eb="9">
      <t>タイ</t>
    </rPh>
    <rPh sb="11" eb="13">
      <t>ショウサ</t>
    </rPh>
    <phoneticPr fontId="1"/>
  </si>
  <si>
    <t>2-2. 土圧</t>
    <rPh sb="5" eb="7">
      <t>ドアツ</t>
    </rPh>
    <phoneticPr fontId="1"/>
  </si>
  <si>
    <t>2-3. 浮力</t>
    <rPh sb="5" eb="7">
      <t>フリョク</t>
    </rPh>
    <phoneticPr fontId="1"/>
  </si>
  <si>
    <t>2-3-1. 各段の浮力作用高の計算</t>
    <rPh sb="7" eb="8">
      <t>カク</t>
    </rPh>
    <rPh sb="8" eb="9">
      <t>ダン</t>
    </rPh>
    <rPh sb="10" eb="12">
      <t>フリョク</t>
    </rPh>
    <rPh sb="12" eb="14">
      <t>サヨウ</t>
    </rPh>
    <rPh sb="14" eb="15">
      <t>タカ</t>
    </rPh>
    <rPh sb="16" eb="18">
      <t>ケイサン</t>
    </rPh>
    <phoneticPr fontId="1"/>
  </si>
  <si>
    <t>2-3-2. 各段の浮力の計算</t>
    <rPh sb="7" eb="8">
      <t>カク</t>
    </rPh>
    <rPh sb="8" eb="9">
      <t>ダン</t>
    </rPh>
    <rPh sb="10" eb="12">
      <t>フリョク</t>
    </rPh>
    <rPh sb="13" eb="15">
      <t>ケイサン</t>
    </rPh>
    <phoneticPr fontId="1"/>
  </si>
  <si>
    <t>2-3-3. 各段に作用する浮力の重心の計算</t>
    <rPh sb="7" eb="8">
      <t>カク</t>
    </rPh>
    <rPh sb="8" eb="9">
      <t>ダン</t>
    </rPh>
    <rPh sb="10" eb="12">
      <t>サヨウ</t>
    </rPh>
    <rPh sb="14" eb="16">
      <t>フリョク</t>
    </rPh>
    <rPh sb="17" eb="19">
      <t>ジュウシン</t>
    </rPh>
    <rPh sb="20" eb="22">
      <t>ケイサン</t>
    </rPh>
    <phoneticPr fontId="1"/>
  </si>
  <si>
    <t>2-3-4. 基礎部前面から各段の浮力作用位置</t>
    <rPh sb="7" eb="10">
      <t>キソブ</t>
    </rPh>
    <rPh sb="10" eb="12">
      <t>ゼンメン</t>
    </rPh>
    <rPh sb="14" eb="16">
      <t>カクダン</t>
    </rPh>
    <rPh sb="17" eb="19">
      <t>フリョク</t>
    </rPh>
    <rPh sb="19" eb="23">
      <t>サヨウイチ</t>
    </rPh>
    <phoneticPr fontId="1"/>
  </si>
  <si>
    <t>「2-3.浮力」で算出した値とする。</t>
    <rPh sb="5" eb="7">
      <t>フリョク</t>
    </rPh>
    <rPh sb="9" eb="11">
      <t>サンシュツ</t>
    </rPh>
    <rPh sb="13" eb="14">
      <t>アタイ</t>
    </rPh>
    <phoneticPr fontId="1"/>
  </si>
  <si>
    <t>自重</t>
    <rPh sb="0" eb="2">
      <t>ジジュウ</t>
    </rPh>
    <phoneticPr fontId="1"/>
  </si>
  <si>
    <t>浮力</t>
    <rPh sb="0" eb="2">
      <t>フリョク</t>
    </rPh>
    <phoneticPr fontId="1"/>
  </si>
  <si>
    <r>
      <t>x</t>
    </r>
    <r>
      <rPr>
        <vertAlign val="subscript"/>
        <sz val="11"/>
        <color theme="1"/>
        <rFont val="Times New Roman"/>
        <family val="1"/>
      </rPr>
      <t>G</t>
    </r>
    <r>
      <rPr>
        <i/>
        <sz val="11"/>
        <color theme="1"/>
        <rFont val="Times New Roman"/>
        <family val="1"/>
      </rPr>
      <t>'</t>
    </r>
    <phoneticPr fontId="1"/>
  </si>
  <si>
    <r>
      <t>x</t>
    </r>
    <r>
      <rPr>
        <vertAlign val="subscript"/>
        <sz val="11"/>
        <color theme="1"/>
        <rFont val="Times New Roman"/>
        <family val="1"/>
      </rPr>
      <t>S</t>
    </r>
    <r>
      <rPr>
        <i/>
        <sz val="11"/>
        <color theme="1"/>
        <rFont val="Times New Roman"/>
        <family val="1"/>
      </rPr>
      <t>'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</si>
</sst>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"/>
    <numFmt numFmtId="177" formatCode="0.0"/>
    <numFmt numFmtId="178" formatCode="0.000_ "/>
  </numFmts>
  <fonts count="3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6"/>
      <name val="游ゴシック"/>
      <family val="3"/>
      <charset val="128"/>
      <scheme val="minor"/>
    </font>
    <font>
      <i/>
      <vertAlign val="subscript"/>
      <sz val="11"/>
      <color theme="1"/>
      <name val="Times New Roman"/>
      <family val="1"/>
    </font>
    <font>
      <sz val="11"/>
      <color theme="1"/>
      <name val="游ゴシック"/>
      <family val="2"/>
      <charset val="128"/>
      <scheme val="minor"/>
    </font>
    <font>
      <i/>
      <sz val="11"/>
      <color rgb="FF000000"/>
      <name val="Times New Roman"/>
      <family val="1"/>
    </font>
    <font>
      <i/>
      <vertAlign val="subscript"/>
      <sz val="11"/>
      <color rgb="FF000000"/>
      <name val="Times New Roman"/>
      <family val="1"/>
    </font>
    <font>
      <sz val="11"/>
      <color theme="1"/>
      <name val="ＭＳ Ｐ明朝"/>
      <family val="1"/>
      <charset val="128"/>
    </font>
    <font>
      <sz val="11"/>
      <color theme="1"/>
      <name val="游ゴシック"/>
      <family val="2"/>
      <charset val="128"/>
    </font>
    <font>
      <sz val="11"/>
      <color theme="1"/>
      <name val="HGP明朝B"/>
      <family val="1"/>
      <charset val="128"/>
    </font>
    <font>
      <vertAlign val="subscript"/>
      <sz val="11"/>
      <color theme="1"/>
      <name val="HGP明朝B"/>
      <family val="1"/>
      <charset val="128"/>
    </font>
    <font>
      <vertAlign val="superscript"/>
      <sz val="11"/>
      <color theme="1"/>
      <name val="HGP明朝B"/>
      <family val="1"/>
      <charset val="128"/>
    </font>
    <font>
      <i/>
      <sz val="11"/>
      <color theme="1"/>
      <name val="ＭＳ Ｐ明朝"/>
      <family val="1"/>
      <charset val="128"/>
    </font>
    <font>
      <i/>
      <sz val="11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rgb="FF000000"/>
      <name val="Times New Roman"/>
      <family val="1"/>
    </font>
    <font>
      <sz val="11"/>
      <color theme="1"/>
      <name val="ＭＳ 明朝"/>
      <family val="1"/>
      <charset val="128"/>
    </font>
    <font>
      <i/>
      <sz val="11"/>
      <color theme="1"/>
      <name val="Times New Roman"/>
      <family val="1"/>
      <charset val="161"/>
    </font>
    <font>
      <vertAlign val="subscript"/>
      <sz val="11"/>
      <color theme="1"/>
      <name val="游ゴシック"/>
      <family val="3"/>
      <charset val="128"/>
      <scheme val="minor"/>
    </font>
    <font>
      <i/>
      <vertAlign val="subscript"/>
      <sz val="11"/>
      <color theme="1"/>
      <name val="Times New Roman"/>
      <family val="2"/>
      <charset val="161"/>
    </font>
    <font>
      <sz val="11"/>
      <color theme="1"/>
      <name val="游ゴシック"/>
      <family val="1"/>
      <charset val="128"/>
      <scheme val="minor"/>
    </font>
    <font>
      <sz val="11"/>
      <color theme="0" tint="-0.1499984740745262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sz val="11"/>
      <color theme="1"/>
      <name val="Times New Roman"/>
      <family val="1"/>
      <charset val="128"/>
    </font>
    <font>
      <sz val="11"/>
      <color theme="1"/>
      <name val="Calibri"/>
      <family val="1"/>
      <charset val="161"/>
    </font>
    <font>
      <sz val="11"/>
      <color theme="1"/>
      <name val="HGP明朝B"/>
      <family val="1"/>
      <charset val="161"/>
    </font>
    <font>
      <vertAlign val="subscript"/>
      <sz val="11"/>
      <color theme="1"/>
      <name val="HGP明朝B"/>
      <family val="1"/>
    </font>
    <font>
      <sz val="11"/>
      <color theme="1"/>
      <name val="游ゴシック"/>
      <family val="1"/>
      <charset val="128"/>
    </font>
    <font>
      <i/>
      <sz val="11"/>
      <color theme="1"/>
      <name val="游ゴシック"/>
      <family val="1"/>
      <charset val="128"/>
    </font>
    <font>
      <sz val="11"/>
      <color theme="1"/>
      <name val="游ゴシック"/>
      <family val="2"/>
    </font>
    <font>
      <sz val="11"/>
      <color theme="1"/>
      <name val="Yu Gothic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HGP明朝E"/>
      <family val="1"/>
      <charset val="128"/>
    </font>
    <font>
      <vertAlign val="subscript"/>
      <sz val="11"/>
      <color theme="1"/>
      <name val="HGP明朝E"/>
      <family val="1"/>
      <charset val="128"/>
    </font>
    <font>
      <i/>
      <sz val="11"/>
      <color theme="1"/>
      <name val="HGP明朝E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43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0" xfId="1">
      <alignment vertical="center"/>
    </xf>
    <xf numFmtId="0" fontId="7" fillId="0" borderId="0" xfId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5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/>
    <xf numFmtId="0" fontId="7" fillId="0" borderId="5" xfId="1" applyBorder="1">
      <alignment vertical="center"/>
    </xf>
    <xf numFmtId="176" fontId="2" fillId="0" borderId="0" xfId="0" applyNumberFormat="1" applyFont="1" applyAlignment="1">
      <alignment horizontal="center"/>
    </xf>
    <xf numFmtId="176" fontId="3" fillId="0" borderId="0" xfId="0" applyNumberFormat="1" applyFont="1">
      <alignment vertical="center"/>
    </xf>
    <xf numFmtId="0" fontId="0" fillId="0" borderId="0" xfId="0" quotePrefix="1" applyAlignment="1">
      <alignment horizontal="right"/>
    </xf>
    <xf numFmtId="176" fontId="2" fillId="0" borderId="0" xfId="0" applyNumberFormat="1" applyFont="1">
      <alignment vertical="center"/>
    </xf>
    <xf numFmtId="0" fontId="0" fillId="0" borderId="6" xfId="0" applyBorder="1">
      <alignment vertical="center"/>
    </xf>
    <xf numFmtId="0" fontId="0" fillId="0" borderId="12" xfId="0" applyBorder="1">
      <alignment vertical="center"/>
    </xf>
    <xf numFmtId="0" fontId="3" fillId="0" borderId="12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1" xfId="0" applyFont="1" applyBorder="1">
      <alignment vertical="center"/>
    </xf>
    <xf numFmtId="0" fontId="0" fillId="0" borderId="7" xfId="0" applyBorder="1">
      <alignment vertical="center"/>
    </xf>
    <xf numFmtId="1" fontId="2" fillId="0" borderId="0" xfId="0" applyNumberFormat="1" applyFont="1">
      <alignment vertical="center"/>
    </xf>
    <xf numFmtId="0" fontId="18" fillId="0" borderId="2" xfId="1" applyFont="1" applyBorder="1" applyAlignment="1">
      <alignment horizontal="left" vertical="center"/>
    </xf>
    <xf numFmtId="0" fontId="3" fillId="0" borderId="0" xfId="1" applyFont="1">
      <alignment vertical="center"/>
    </xf>
    <xf numFmtId="0" fontId="3" fillId="0" borderId="5" xfId="1" applyFont="1" applyBorder="1">
      <alignment vertical="center"/>
    </xf>
    <xf numFmtId="0" fontId="15" fillId="0" borderId="5" xfId="1" applyFont="1" applyBorder="1">
      <alignment vertical="center"/>
    </xf>
    <xf numFmtId="0" fontId="10" fillId="0" borderId="5" xfId="1" applyFont="1" applyBorder="1">
      <alignment vertical="center"/>
    </xf>
    <xf numFmtId="0" fontId="20" fillId="0" borderId="0" xfId="1" applyFont="1">
      <alignment vertical="center"/>
    </xf>
    <xf numFmtId="0" fontId="2" fillId="0" borderId="0" xfId="1" quotePrefix="1" applyFont="1">
      <alignment vertical="center"/>
    </xf>
    <xf numFmtId="0" fontId="15" fillId="0" borderId="0" xfId="1" applyFont="1">
      <alignment vertical="center"/>
    </xf>
    <xf numFmtId="0" fontId="2" fillId="0" borderId="5" xfId="1" quotePrefix="1" applyFont="1" applyBorder="1">
      <alignment vertical="center"/>
    </xf>
    <xf numFmtId="0" fontId="2" fillId="0" borderId="5" xfId="1" applyFont="1" applyBorder="1">
      <alignment vertical="center"/>
    </xf>
    <xf numFmtId="0" fontId="17" fillId="0" borderId="0" xfId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2" xfId="0" quotePrefix="1" applyBorder="1">
      <alignment vertical="center"/>
    </xf>
    <xf numFmtId="0" fontId="2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center" vertical="center"/>
    </xf>
    <xf numFmtId="0" fontId="0" fillId="0" borderId="0" xfId="0" quotePrefix="1">
      <alignment vertical="center"/>
    </xf>
    <xf numFmtId="0" fontId="2" fillId="0" borderId="0" xfId="0" quotePrefix="1" applyFont="1">
      <alignment vertical="center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12" xfId="0" applyBorder="1" applyAlignment="1"/>
    <xf numFmtId="0" fontId="3" fillId="0" borderId="9" xfId="0" applyFont="1" applyBorder="1">
      <alignment vertical="center"/>
    </xf>
    <xf numFmtId="0" fontId="24" fillId="0" borderId="0" xfId="0" applyFont="1">
      <alignment vertical="center"/>
    </xf>
    <xf numFmtId="0" fontId="3" fillId="0" borderId="5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applyBorder="1" applyAlignment="1"/>
    <xf numFmtId="0" fontId="2" fillId="0" borderId="0" xfId="1" applyFont="1" applyAlignment="1">
      <alignment vertical="center" shrinkToFit="1"/>
    </xf>
    <xf numFmtId="0" fontId="0" fillId="0" borderId="0" xfId="0" applyAlignment="1">
      <alignment vertical="center" shrinkToFit="1"/>
    </xf>
    <xf numFmtId="1" fontId="10" fillId="0" borderId="5" xfId="0" applyNumberFormat="1" applyFont="1" applyBorder="1" applyAlignment="1">
      <alignment horizontal="center" vertical="center"/>
    </xf>
    <xf numFmtId="176" fontId="2" fillId="0" borderId="12" xfId="0" applyNumberFormat="1" applyFont="1" applyBorder="1">
      <alignment vertical="center"/>
    </xf>
    <xf numFmtId="0" fontId="0" fillId="0" borderId="10" xfId="0" applyBorder="1" applyAlignment="1"/>
    <xf numFmtId="0" fontId="2" fillId="0" borderId="5" xfId="1" applyFont="1" applyBorder="1" applyAlignment="1">
      <alignment horizontal="center" vertical="center"/>
    </xf>
    <xf numFmtId="0" fontId="17" fillId="0" borderId="5" xfId="1" applyFont="1" applyBorder="1">
      <alignment vertical="center"/>
    </xf>
    <xf numFmtId="0" fontId="3" fillId="0" borderId="0" xfId="0" applyFont="1" applyAlignment="1">
      <alignment horizontal="right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0" xfId="0" applyBorder="1">
      <alignment vertical="center"/>
    </xf>
    <xf numFmtId="0" fontId="0" fillId="0" borderId="22" xfId="0" applyBorder="1">
      <alignment vertical="center"/>
    </xf>
    <xf numFmtId="0" fontId="0" fillId="0" borderId="25" xfId="0" applyBorder="1">
      <alignment vertical="center"/>
    </xf>
    <xf numFmtId="0" fontId="2" fillId="0" borderId="8" xfId="1" applyFont="1" applyBorder="1">
      <alignment vertical="center"/>
    </xf>
    <xf numFmtId="176" fontId="0" fillId="0" borderId="9" xfId="0" applyNumberFormat="1" applyBorder="1">
      <alignment vertical="center"/>
    </xf>
    <xf numFmtId="176" fontId="0" fillId="0" borderId="5" xfId="0" applyNumberFormat="1" applyBorder="1">
      <alignment vertical="center"/>
    </xf>
    <xf numFmtId="176" fontId="0" fillId="0" borderId="11" xfId="0" applyNumberFormat="1" applyBorder="1">
      <alignment vertical="center"/>
    </xf>
    <xf numFmtId="38" fontId="2" fillId="0" borderId="0" xfId="2" applyFont="1" applyAlignment="1">
      <alignment horizontal="center" vertical="center"/>
    </xf>
    <xf numFmtId="38" fontId="2" fillId="0" borderId="0" xfId="2" applyFont="1" applyAlignment="1">
      <alignment vertical="center"/>
    </xf>
    <xf numFmtId="176" fontId="2" fillId="0" borderId="9" xfId="0" applyNumberFormat="1" applyFont="1" applyBorder="1" applyAlignment="1">
      <alignment horizontal="right" vertical="center"/>
    </xf>
    <xf numFmtId="0" fontId="17" fillId="0" borderId="8" xfId="0" applyFont="1" applyBorder="1" applyAlignment="1"/>
    <xf numFmtId="0" fontId="3" fillId="0" borderId="5" xfId="0" applyFont="1" applyBorder="1" applyAlignment="1"/>
    <xf numFmtId="177" fontId="2" fillId="0" borderId="0" xfId="0" applyNumberFormat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0" fontId="3" fillId="0" borderId="0" xfId="0" applyFont="1" applyAlignment="1"/>
    <xf numFmtId="0" fontId="2" fillId="0" borderId="5" xfId="0" applyFont="1" applyBorder="1" applyAlignment="1"/>
    <xf numFmtId="0" fontId="12" fillId="0" borderId="5" xfId="1" applyFont="1" applyBorder="1">
      <alignment vertical="center"/>
    </xf>
    <xf numFmtId="176" fontId="2" fillId="0" borderId="8" xfId="0" applyNumberFormat="1" applyFont="1" applyBorder="1">
      <alignment vertical="center"/>
    </xf>
    <xf numFmtId="0" fontId="2" fillId="0" borderId="0" xfId="1" applyFont="1" applyAlignment="1">
      <alignment horizontal="center" vertical="center" shrinkToFit="1"/>
    </xf>
    <xf numFmtId="0" fontId="0" fillId="0" borderId="8" xfId="0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3" fillId="0" borderId="8" xfId="1" applyFont="1" applyBorder="1">
      <alignment vertical="center"/>
    </xf>
    <xf numFmtId="0" fontId="34" fillId="0" borderId="0" xfId="3">
      <alignment vertical="center"/>
    </xf>
    <xf numFmtId="176" fontId="2" fillId="0" borderId="0" xfId="0" applyNumberFormat="1" applyFont="1" applyAlignment="1">
      <alignment horizontal="right"/>
    </xf>
    <xf numFmtId="0" fontId="0" fillId="0" borderId="0" xfId="0" applyAlignment="1">
      <alignment vertical="top"/>
    </xf>
    <xf numFmtId="0" fontId="0" fillId="0" borderId="6" xfId="0" applyBorder="1" applyAlignment="1"/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0" xfId="1" applyFont="1">
      <alignment vertical="center"/>
    </xf>
    <xf numFmtId="177" fontId="2" fillId="0" borderId="0" xfId="0" applyNumberFormat="1" applyFont="1">
      <alignment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7" xfId="0" applyBorder="1">
      <alignment vertical="center"/>
    </xf>
    <xf numFmtId="0" fontId="35" fillId="0" borderId="0" xfId="0" applyFont="1">
      <alignment vertical="center"/>
    </xf>
    <xf numFmtId="0" fontId="17" fillId="0" borderId="0" xfId="0" applyFont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10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176" fontId="2" fillId="2" borderId="6" xfId="0" applyNumberFormat="1" applyFont="1" applyFill="1" applyBorder="1" applyAlignment="1" applyProtection="1">
      <alignment horizontal="center" vertical="center"/>
      <protection locked="0"/>
    </xf>
    <xf numFmtId="176" fontId="2" fillId="2" borderId="12" xfId="0" applyNumberFormat="1" applyFont="1" applyFill="1" applyBorder="1" applyAlignment="1" applyProtection="1">
      <alignment horizontal="center" vertical="center"/>
      <protection locked="0"/>
    </xf>
    <xf numFmtId="176" fontId="2" fillId="2" borderId="7" xfId="0" applyNumberFormat="1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>
      <alignment horizontal="center"/>
    </xf>
    <xf numFmtId="176" fontId="2" fillId="0" borderId="2" xfId="0" applyNumberFormat="1" applyFont="1" applyBorder="1" applyAlignment="1">
      <alignment horizontal="center"/>
    </xf>
    <xf numFmtId="176" fontId="2" fillId="0" borderId="3" xfId="0" applyNumberFormat="1" applyFont="1" applyBorder="1" applyAlignment="1">
      <alignment horizontal="center"/>
    </xf>
    <xf numFmtId="0" fontId="17" fillId="2" borderId="6" xfId="0" applyFont="1" applyFill="1" applyBorder="1" applyAlignment="1" applyProtection="1">
      <alignment horizontal="center"/>
      <protection locked="0"/>
    </xf>
    <xf numFmtId="0" fontId="17" fillId="2" borderId="12" xfId="0" applyFont="1" applyFill="1" applyBorder="1" applyAlignment="1" applyProtection="1">
      <alignment horizont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7" fillId="2" borderId="2" xfId="0" applyFont="1" applyFill="1" applyBorder="1" applyAlignment="1" applyProtection="1">
      <alignment horizontal="center"/>
      <protection locked="0"/>
    </xf>
    <xf numFmtId="0" fontId="17" fillId="2" borderId="3" xfId="0" applyFont="1" applyFill="1" applyBorder="1" applyAlignment="1" applyProtection="1">
      <alignment horizontal="center"/>
      <protection locked="0"/>
    </xf>
    <xf numFmtId="176" fontId="0" fillId="0" borderId="8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6" fontId="2" fillId="2" borderId="2" xfId="0" applyNumberFormat="1" applyFont="1" applyFill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1" fontId="2" fillId="2" borderId="2" xfId="0" applyNumberFormat="1" applyFont="1" applyFill="1" applyBorder="1" applyAlignment="1" applyProtection="1">
      <alignment horizontal="center" vertical="center"/>
      <protection locked="0"/>
    </xf>
    <xf numFmtId="1" fontId="2" fillId="2" borderId="3" xfId="0" applyNumberFormat="1" applyFon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3" xfId="0" applyNumberForma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2" xfId="0" applyNumberFormat="1" applyFont="1" applyFill="1" applyBorder="1" applyAlignment="1" applyProtection="1">
      <alignment horizontal="center" vertical="center"/>
      <protection locked="0"/>
    </xf>
    <xf numFmtId="177" fontId="2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1" fontId="2" fillId="2" borderId="1" xfId="0" applyNumberFormat="1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0" fillId="2" borderId="1" xfId="0" quotePrefix="1" applyFill="1" applyBorder="1" applyAlignment="1" applyProtection="1">
      <alignment horizontal="right"/>
      <protection locked="0"/>
    </xf>
    <xf numFmtId="0" fontId="0" fillId="2" borderId="2" xfId="0" quotePrefix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/>
    </xf>
    <xf numFmtId="0" fontId="30" fillId="0" borderId="9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2" fillId="0" borderId="8" xfId="0" quotePrefix="1" applyFont="1" applyBorder="1" applyAlignment="1">
      <alignment horizontal="center"/>
    </xf>
    <xf numFmtId="0" fontId="2" fillId="0" borderId="0" xfId="0" quotePrefix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176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177" fontId="2" fillId="0" borderId="12" xfId="0" applyNumberFormat="1" applyFont="1" applyBorder="1" applyAlignment="1">
      <alignment horizontal="center" vertical="center"/>
    </xf>
    <xf numFmtId="177" fontId="2" fillId="0" borderId="5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177" fontId="2" fillId="0" borderId="0" xfId="1" applyNumberFormat="1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 shrinkToFit="1"/>
    </xf>
    <xf numFmtId="178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7" fillId="0" borderId="8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center" vertical="center"/>
    </xf>
    <xf numFmtId="177" fontId="2" fillId="0" borderId="10" xfId="0" applyNumberFormat="1" applyFont="1" applyBorder="1" applyAlignment="1">
      <alignment horizontal="center" vertical="center"/>
    </xf>
    <xf numFmtId="177" fontId="2" fillId="0" borderId="1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/>
    </xf>
    <xf numFmtId="177" fontId="2" fillId="0" borderId="3" xfId="0" applyNumberFormat="1" applyFont="1" applyBorder="1" applyAlignment="1">
      <alignment horizontal="center"/>
    </xf>
    <xf numFmtId="0" fontId="7" fillId="0" borderId="0" xfId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/>
    </xf>
    <xf numFmtId="176" fontId="2" fillId="0" borderId="5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/>
    </xf>
    <xf numFmtId="176" fontId="2" fillId="0" borderId="8" xfId="0" applyNumberFormat="1" applyFont="1" applyBorder="1" applyAlignment="1">
      <alignment horizontal="center"/>
    </xf>
    <xf numFmtId="176" fontId="2" fillId="0" borderId="9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176" fontId="2" fillId="0" borderId="8" xfId="0" applyNumberFormat="1" applyFont="1" applyBorder="1" applyAlignment="1">
      <alignment horizontal="right"/>
    </xf>
    <xf numFmtId="176" fontId="2" fillId="0" borderId="0" xfId="0" applyNumberFormat="1" applyFont="1" applyAlignment="1">
      <alignment horizontal="right"/>
    </xf>
    <xf numFmtId="176" fontId="2" fillId="0" borderId="14" xfId="0" applyNumberFormat="1" applyFont="1" applyBorder="1" applyAlignment="1">
      <alignment horizontal="right"/>
    </xf>
    <xf numFmtId="176" fontId="10" fillId="0" borderId="14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8" fillId="0" borderId="1" xfId="1" applyFont="1" applyBorder="1" applyAlignment="1">
      <alignment horizontal="right" vertical="center"/>
    </xf>
    <xf numFmtId="0" fontId="8" fillId="0" borderId="2" xfId="1" applyFont="1" applyBorder="1" applyAlignment="1">
      <alignment horizontal="right" vertical="center"/>
    </xf>
    <xf numFmtId="0" fontId="3" fillId="0" borderId="5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176" fontId="2" fillId="0" borderId="5" xfId="0" applyNumberFormat="1" applyFont="1" applyBorder="1" applyAlignment="1">
      <alignment horizontal="right"/>
    </xf>
    <xf numFmtId="176" fontId="10" fillId="0" borderId="30" xfId="0" applyNumberFormat="1" applyFont="1" applyBorder="1" applyAlignment="1">
      <alignment horizontal="center"/>
    </xf>
    <xf numFmtId="176" fontId="2" fillId="0" borderId="30" xfId="0" applyNumberFormat="1" applyFont="1" applyBorder="1" applyAlignment="1">
      <alignment horizontal="right"/>
    </xf>
    <xf numFmtId="176" fontId="2" fillId="0" borderId="10" xfId="0" applyNumberFormat="1" applyFont="1" applyBorder="1" applyAlignment="1">
      <alignment horizontal="center"/>
    </xf>
    <xf numFmtId="176" fontId="2" fillId="0" borderId="1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76" fontId="2" fillId="0" borderId="15" xfId="0" applyNumberFormat="1" applyFont="1" applyBorder="1" applyAlignment="1">
      <alignment horizontal="right"/>
    </xf>
    <xf numFmtId="176" fontId="2" fillId="0" borderId="2" xfId="0" applyNumberFormat="1" applyFont="1" applyBorder="1" applyAlignment="1">
      <alignment horizontal="right"/>
    </xf>
    <xf numFmtId="176" fontId="2" fillId="0" borderId="1" xfId="0" applyNumberFormat="1" applyFont="1" applyBorder="1" applyAlignment="1">
      <alignment horizontal="right"/>
    </xf>
    <xf numFmtId="176" fontId="2" fillId="0" borderId="3" xfId="0" applyNumberFormat="1" applyFont="1" applyBorder="1" applyAlignment="1">
      <alignment horizontal="right"/>
    </xf>
    <xf numFmtId="0" fontId="0" fillId="0" borderId="4" xfId="0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6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7" xfId="0" applyBorder="1" applyAlignment="1">
      <alignment horizontal="center"/>
    </xf>
    <xf numFmtId="176" fontId="2" fillId="0" borderId="6" xfId="0" applyNumberFormat="1" applyFont="1" applyBorder="1" applyAlignment="1">
      <alignment horizontal="right"/>
    </xf>
    <xf numFmtId="176" fontId="2" fillId="0" borderId="12" xfId="0" applyNumberFormat="1" applyFont="1" applyBorder="1" applyAlignment="1">
      <alignment horizontal="right"/>
    </xf>
    <xf numFmtId="176" fontId="10" fillId="0" borderId="13" xfId="0" applyNumberFormat="1" applyFont="1" applyBorder="1" applyAlignment="1">
      <alignment horizontal="center"/>
    </xf>
    <xf numFmtId="176" fontId="2" fillId="0" borderId="12" xfId="0" applyNumberFormat="1" applyFont="1" applyBorder="1" applyAlignment="1">
      <alignment horizontal="center"/>
    </xf>
    <xf numFmtId="176" fontId="2" fillId="0" borderId="13" xfId="0" applyNumberFormat="1" applyFont="1" applyBorder="1" applyAlignment="1">
      <alignment horizontal="right"/>
    </xf>
    <xf numFmtId="176" fontId="2" fillId="0" borderId="6" xfId="0" applyNumberFormat="1" applyFont="1" applyBorder="1" applyAlignment="1">
      <alignment horizontal="center"/>
    </xf>
    <xf numFmtId="176" fontId="2" fillId="0" borderId="7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47" fontId="2" fillId="0" borderId="1" xfId="0" quotePrefix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38" fontId="17" fillId="0" borderId="0" xfId="2" applyFont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176" fontId="2" fillId="0" borderId="12" xfId="1" applyNumberFormat="1" applyFont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76" fontId="2" fillId="0" borderId="12" xfId="1" quotePrefix="1" applyNumberFormat="1" applyFont="1" applyBorder="1" applyAlignment="1">
      <alignment horizontal="center" vertical="center"/>
    </xf>
    <xf numFmtId="178" fontId="2" fillId="0" borderId="5" xfId="1" quotePrefix="1" applyNumberFormat="1" applyFont="1" applyBorder="1" applyAlignment="1">
      <alignment horizontal="center" vertical="center"/>
    </xf>
    <xf numFmtId="176" fontId="2" fillId="0" borderId="0" xfId="1" quotePrefix="1" applyNumberFormat="1" applyFont="1" applyAlignment="1">
      <alignment horizontal="center" vertical="center"/>
    </xf>
    <xf numFmtId="176" fontId="2" fillId="0" borderId="5" xfId="1" quotePrefix="1" applyNumberFormat="1" applyFont="1" applyBorder="1" applyAlignment="1">
      <alignment horizontal="center" vertical="center"/>
    </xf>
    <xf numFmtId="0" fontId="2" fillId="0" borderId="5" xfId="1" quotePrefix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2" fontId="2" fillId="0" borderId="12" xfId="1" applyNumberFormat="1" applyFont="1" applyBorder="1" applyAlignment="1">
      <alignment horizontal="center" vertical="center"/>
    </xf>
    <xf numFmtId="0" fontId="3" fillId="0" borderId="0" xfId="1" quotePrefix="1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7" fillId="0" borderId="12" xfId="1" applyBorder="1" applyAlignment="1">
      <alignment horizontal="center" vertical="center"/>
    </xf>
    <xf numFmtId="0" fontId="7" fillId="0" borderId="7" xfId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2" fontId="2" fillId="0" borderId="5" xfId="1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12" fillId="0" borderId="12" xfId="0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10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18" xfId="0" applyBorder="1" applyAlignment="1">
      <alignment horizontal="center" vertical="center"/>
    </xf>
    <xf numFmtId="176" fontId="2" fillId="0" borderId="19" xfId="0" applyNumberFormat="1" applyFont="1" applyBorder="1" applyAlignment="1">
      <alignment horizontal="right" vertical="center"/>
    </xf>
    <xf numFmtId="176" fontId="2" fillId="0" borderId="18" xfId="0" applyNumberFormat="1" applyFont="1" applyBorder="1" applyAlignment="1">
      <alignment horizontal="right" vertical="center"/>
    </xf>
    <xf numFmtId="176" fontId="2" fillId="0" borderId="20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176" fontId="2" fillId="0" borderId="21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0" fontId="0" fillId="0" borderId="31" xfId="0" applyBorder="1" applyAlignment="1">
      <alignment horizontal="center" vertical="center"/>
    </xf>
    <xf numFmtId="176" fontId="2" fillId="0" borderId="26" xfId="0" applyNumberFormat="1" applyFont="1" applyBorder="1" applyAlignment="1">
      <alignment horizontal="right" vertical="center"/>
    </xf>
    <xf numFmtId="176" fontId="2" fillId="0" borderId="27" xfId="0" applyNumberFormat="1" applyFont="1" applyBorder="1" applyAlignment="1">
      <alignment horizontal="right" vertical="center"/>
    </xf>
    <xf numFmtId="176" fontId="2" fillId="0" borderId="28" xfId="0" applyNumberFormat="1" applyFont="1" applyBorder="1" applyAlignment="1">
      <alignment horizontal="right" vertical="center"/>
    </xf>
    <xf numFmtId="176" fontId="2" fillId="0" borderId="29" xfId="0" applyNumberFormat="1" applyFont="1" applyBorder="1" applyAlignment="1">
      <alignment horizontal="right" vertical="center"/>
    </xf>
    <xf numFmtId="176" fontId="2" fillId="0" borderId="34" xfId="0" applyNumberFormat="1" applyFont="1" applyBorder="1" applyAlignment="1">
      <alignment horizontal="right" vertical="center"/>
    </xf>
    <xf numFmtId="176" fontId="2" fillId="0" borderId="25" xfId="0" applyNumberFormat="1" applyFont="1" applyBorder="1" applyAlignment="1">
      <alignment horizontal="right" vertical="center"/>
    </xf>
    <xf numFmtId="176" fontId="2" fillId="0" borderId="36" xfId="0" applyNumberFormat="1" applyFont="1" applyBorder="1" applyAlignment="1">
      <alignment horizontal="right" vertical="center"/>
    </xf>
    <xf numFmtId="176" fontId="2" fillId="0" borderId="35" xfId="0" applyNumberFormat="1" applyFont="1" applyBorder="1" applyAlignment="1">
      <alignment horizontal="right" vertical="center"/>
    </xf>
    <xf numFmtId="0" fontId="0" fillId="0" borderId="0" xfId="1" applyFont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76" fontId="2" fillId="0" borderId="6" xfId="0" applyNumberFormat="1" applyFont="1" applyBorder="1" applyAlignment="1">
      <alignment horizontal="right"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2" fontId="2" fillId="0" borderId="5" xfId="0" applyNumberFormat="1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/>
    </xf>
  </cellXfs>
  <cellStyles count="4">
    <cellStyle name="ハイパーリンク" xfId="3" builtinId="8"/>
    <cellStyle name="桁区切り" xfId="2" builtinId="6"/>
    <cellStyle name="標準" xfId="0" builtinId="0"/>
    <cellStyle name="標準 2" xfId="1" xr:uid="{8E0747D7-A74F-4653-B57C-390658CA8266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microsoft.com/office/2017/10/relationships/person" Target="persons/person6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5" Type="http://schemas.microsoft.com/office/2017/10/relationships/person" Target="persons/person1.xml"/><Relationship Id="rId2" Type="http://schemas.openxmlformats.org/officeDocument/2006/relationships/worksheet" Target="worksheets/sheet2.xml"/><Relationship Id="rId20" Type="http://schemas.microsoft.com/office/2017/10/relationships/person" Target="persons/person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24" Type="http://schemas.microsoft.com/office/2017/10/relationships/person" Target="persons/person0.xml"/><Relationship Id="rId5" Type="http://schemas.openxmlformats.org/officeDocument/2006/relationships/worksheet" Target="worksheets/sheet5.xml"/><Relationship Id="rId23" Type="http://schemas.microsoft.com/office/2017/10/relationships/person" Target="persons/person4.xml"/><Relationship Id="rId10" Type="http://schemas.openxmlformats.org/officeDocument/2006/relationships/theme" Target="theme/theme1.xml"/><Relationship Id="rId19" Type="http://schemas.microsoft.com/office/2017/10/relationships/person" Target="persons/pers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microsoft.com/office/2017/10/relationships/person" Target="persons/pers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47333</xdr:colOff>
      <xdr:row>5</xdr:row>
      <xdr:rowOff>95603</xdr:rowOff>
    </xdr:from>
    <xdr:to>
      <xdr:col>33</xdr:col>
      <xdr:colOff>33198</xdr:colOff>
      <xdr:row>5</xdr:row>
      <xdr:rowOff>95603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7A5D2B62-C182-17B4-6299-EC3C72D5E1A6}"/>
            </a:ext>
          </a:extLst>
        </xdr:cNvPr>
        <xdr:cNvCxnSpPr/>
      </xdr:nvCxnSpPr>
      <xdr:spPr>
        <a:xfrm>
          <a:off x="7362533" y="1467203"/>
          <a:ext cx="214465" cy="0"/>
        </a:xfrm>
        <a:prstGeom prst="line">
          <a:avLst/>
        </a:prstGeom>
        <a:ln w="1270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112102</xdr:colOff>
      <xdr:row>5</xdr:row>
      <xdr:rowOff>95603</xdr:rowOff>
    </xdr:from>
    <xdr:to>
      <xdr:col>32</xdr:col>
      <xdr:colOff>46547</xdr:colOff>
      <xdr:row>5</xdr:row>
      <xdr:rowOff>95603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201090E-9A6D-46CC-919B-BF4221026973}"/>
            </a:ext>
          </a:extLst>
        </xdr:cNvPr>
        <xdr:cNvCxnSpPr/>
      </xdr:nvCxnSpPr>
      <xdr:spPr>
        <a:xfrm>
          <a:off x="6970102" y="1467203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2343</xdr:colOff>
      <xdr:row>10</xdr:row>
      <xdr:rowOff>221951</xdr:rowOff>
    </xdr:from>
    <xdr:ext cx="285527" cy="71141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FCD89E0-816F-4E2E-BDCE-46859D342C99}"/>
            </a:ext>
          </a:extLst>
        </xdr:cNvPr>
        <xdr:cNvSpPr txBox="1"/>
      </xdr:nvSpPr>
      <xdr:spPr>
        <a:xfrm rot="17160000">
          <a:off x="6647400" y="2720894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twoCellAnchor editAs="oneCell">
    <xdr:from>
      <xdr:col>24</xdr:col>
      <xdr:colOff>209006</xdr:colOff>
      <xdr:row>5</xdr:row>
      <xdr:rowOff>94966</xdr:rowOff>
    </xdr:from>
    <xdr:to>
      <xdr:col>29</xdr:col>
      <xdr:colOff>139337</xdr:colOff>
      <xdr:row>5</xdr:row>
      <xdr:rowOff>94966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0833B48-7C17-47F6-99AE-729235BC659D}"/>
            </a:ext>
          </a:extLst>
        </xdr:cNvPr>
        <xdr:cNvCxnSpPr/>
      </xdr:nvCxnSpPr>
      <xdr:spPr>
        <a:xfrm>
          <a:off x="5695406" y="1466566"/>
          <a:ext cx="107333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113936</xdr:colOff>
      <xdr:row>5</xdr:row>
      <xdr:rowOff>95792</xdr:rowOff>
    </xdr:from>
    <xdr:to>
      <xdr:col>26</xdr:col>
      <xdr:colOff>113936</xdr:colOff>
      <xdr:row>14</xdr:row>
      <xdr:rowOff>89680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77D3586-2D47-4E50-94FF-50321DB41375}"/>
            </a:ext>
          </a:extLst>
        </xdr:cNvPr>
        <xdr:cNvCxnSpPr/>
      </xdr:nvCxnSpPr>
      <xdr:spPr>
        <a:xfrm>
          <a:off x="6057536" y="1467392"/>
          <a:ext cx="0" cy="20512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21771</xdr:colOff>
      <xdr:row>14</xdr:row>
      <xdr:rowOff>211232</xdr:rowOff>
    </xdr:from>
    <xdr:to>
      <xdr:col>27</xdr:col>
      <xdr:colOff>39188</xdr:colOff>
      <xdr:row>14</xdr:row>
      <xdr:rowOff>211232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BA1B1774-2453-42A4-A54C-06806A9FBB69}"/>
            </a:ext>
          </a:extLst>
        </xdr:cNvPr>
        <xdr:cNvCxnSpPr/>
      </xdr:nvCxnSpPr>
      <xdr:spPr>
        <a:xfrm>
          <a:off x="5736771" y="3640232"/>
          <a:ext cx="47461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88822</xdr:colOff>
      <xdr:row>15</xdr:row>
      <xdr:rowOff>204460</xdr:rowOff>
    </xdr:from>
    <xdr:ext cx="349135" cy="22499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D93F6A2-13DE-401A-9741-459827CD6BCD}"/>
            </a:ext>
          </a:extLst>
        </xdr:cNvPr>
        <xdr:cNvSpPr txBox="1"/>
      </xdr:nvSpPr>
      <xdr:spPr>
        <a:xfrm>
          <a:off x="6319805" y="389689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174454</xdr:colOff>
      <xdr:row>15</xdr:row>
      <xdr:rowOff>205482</xdr:rowOff>
    </xdr:from>
    <xdr:to>
      <xdr:col>29</xdr:col>
      <xdr:colOff>180900</xdr:colOff>
      <xdr:row>15</xdr:row>
      <xdr:rowOff>205482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A050B6B0-7EF3-4C8D-8EF5-98A73E8C34BE}"/>
            </a:ext>
          </a:extLst>
        </xdr:cNvPr>
        <xdr:cNvCxnSpPr/>
      </xdr:nvCxnSpPr>
      <xdr:spPr>
        <a:xfrm>
          <a:off x="6405437" y="3897916"/>
          <a:ext cx="46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172052</xdr:colOff>
      <xdr:row>15</xdr:row>
      <xdr:rowOff>66675</xdr:rowOff>
    </xdr:from>
    <xdr:to>
      <xdr:col>27</xdr:col>
      <xdr:colOff>172052</xdr:colOff>
      <xdr:row>16</xdr:row>
      <xdr:rowOff>30959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F2D87373-3E50-4CE8-A196-8D917932EE1D}"/>
            </a:ext>
          </a:extLst>
        </xdr:cNvPr>
        <xdr:cNvCxnSpPr/>
      </xdr:nvCxnSpPr>
      <xdr:spPr>
        <a:xfrm>
          <a:off x="6344252" y="3724275"/>
          <a:ext cx="0" cy="19288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143547</xdr:colOff>
      <xdr:row>5</xdr:row>
      <xdr:rowOff>96862</xdr:rowOff>
    </xdr:from>
    <xdr:to>
      <xdr:col>32</xdr:col>
      <xdr:colOff>46024</xdr:colOff>
      <xdr:row>14</xdr:row>
      <xdr:rowOff>94443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FC29FB8E-5DB3-CF63-5FDA-EFB5B0FDF37D}"/>
            </a:ext>
          </a:extLst>
        </xdr:cNvPr>
        <xdr:cNvCxnSpPr/>
      </xdr:nvCxnSpPr>
      <xdr:spPr>
        <a:xfrm flipH="1">
          <a:off x="6772947" y="1468462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177932</xdr:colOff>
      <xdr:row>15</xdr:row>
      <xdr:rowOff>57150</xdr:rowOff>
    </xdr:from>
    <xdr:to>
      <xdr:col>29</xdr:col>
      <xdr:colOff>177932</xdr:colOff>
      <xdr:row>16</xdr:row>
      <xdr:rowOff>11080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834B6906-C876-A019-4A9D-506FA9B3C889}"/>
            </a:ext>
          </a:extLst>
        </xdr:cNvPr>
        <xdr:cNvCxnSpPr/>
      </xdr:nvCxnSpPr>
      <xdr:spPr>
        <a:xfrm>
          <a:off x="6807332" y="3714750"/>
          <a:ext cx="0" cy="18253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69093</xdr:colOff>
      <xdr:row>15</xdr:row>
      <xdr:rowOff>202493</xdr:rowOff>
    </xdr:from>
    <xdr:ext cx="444352" cy="224998"/>
    <xdr:sp macro="" textlink="$T$9">
      <xdr:nvSpPr>
        <xdr:cNvPr id="3" name="テキスト ボックス 2">
          <a:extLst>
            <a:ext uri="{FF2B5EF4-FFF2-40B4-BE49-F238E27FC236}">
              <a16:creationId xmlns:a16="http://schemas.microsoft.com/office/drawing/2014/main" id="{58343286-AE61-49B4-A0B4-55D50AAE561B}"/>
            </a:ext>
          </a:extLst>
        </xdr:cNvPr>
        <xdr:cNvSpPr txBox="1"/>
      </xdr:nvSpPr>
      <xdr:spPr>
        <a:xfrm>
          <a:off x="6530853" y="38949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2039B9-AF44-4577-8EB5-B7C97DB22B4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117477</xdr:colOff>
      <xdr:row>7</xdr:row>
      <xdr:rowOff>209334</xdr:rowOff>
    </xdr:from>
    <xdr:ext cx="224998" cy="444352"/>
    <xdr:sp macro="" textlink="$T$6">
      <xdr:nvSpPr>
        <xdr:cNvPr id="16" name="テキスト ボックス 15">
          <a:extLst>
            <a:ext uri="{FF2B5EF4-FFF2-40B4-BE49-F238E27FC236}">
              <a16:creationId xmlns:a16="http://schemas.microsoft.com/office/drawing/2014/main" id="{D05684AC-E1DF-4F56-BF57-51B1A11F7900}"/>
            </a:ext>
          </a:extLst>
        </xdr:cNvPr>
        <xdr:cNvSpPr txBox="1"/>
      </xdr:nvSpPr>
      <xdr:spPr>
        <a:xfrm rot="16200000">
          <a:off x="5722800" y="214781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0739F2A-F935-4E94-A059-C464FA45A56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5.800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126711</xdr:colOff>
      <xdr:row>10</xdr:row>
      <xdr:rowOff>102843</xdr:rowOff>
    </xdr:from>
    <xdr:ext cx="224998" cy="328936"/>
    <xdr:sp macro="" textlink="$T$13">
      <xdr:nvSpPr>
        <xdr:cNvPr id="18" name="テキスト ボックス 17">
          <a:extLst>
            <a:ext uri="{FF2B5EF4-FFF2-40B4-BE49-F238E27FC236}">
              <a16:creationId xmlns:a16="http://schemas.microsoft.com/office/drawing/2014/main" id="{D7E4913B-7F3F-4E1B-96A4-7F34BF9A288F}"/>
            </a:ext>
          </a:extLst>
        </xdr:cNvPr>
        <xdr:cNvSpPr txBox="1"/>
      </xdr:nvSpPr>
      <xdr:spPr>
        <a:xfrm rot="17160000">
          <a:off x="6932742" y="2440812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207609</xdr:colOff>
      <xdr:row>5</xdr:row>
      <xdr:rowOff>92099</xdr:rowOff>
    </xdr:from>
    <xdr:to>
      <xdr:col>30</xdr:col>
      <xdr:colOff>111335</xdr:colOff>
      <xdr:row>14</xdr:row>
      <xdr:rowOff>94034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1D6BD35E-3F9B-B91E-03B1-011CCFB49E74}"/>
            </a:ext>
          </a:extLst>
        </xdr:cNvPr>
        <xdr:cNvCxnSpPr/>
      </xdr:nvCxnSpPr>
      <xdr:spPr>
        <a:xfrm flipH="1">
          <a:off x="6379809" y="1463699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165461</xdr:colOff>
      <xdr:row>14</xdr:row>
      <xdr:rowOff>98388</xdr:rowOff>
    </xdr:from>
    <xdr:to>
      <xdr:col>29</xdr:col>
      <xdr:colOff>171907</xdr:colOff>
      <xdr:row>14</xdr:row>
      <xdr:rowOff>206388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5E6C3819-F063-F62C-F7C9-D8FE52D07076}"/>
            </a:ext>
          </a:extLst>
        </xdr:cNvPr>
        <xdr:cNvSpPr/>
      </xdr:nvSpPr>
      <xdr:spPr>
        <a:xfrm>
          <a:off x="6337661" y="3527388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24</xdr:col>
      <xdr:colOff>87254</xdr:colOff>
      <xdr:row>9</xdr:row>
      <xdr:rowOff>64451</xdr:rowOff>
    </xdr:from>
    <xdr:ext cx="224998" cy="361959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ED8FE85-BB88-CA73-0CC8-12D43B5713C2}"/>
            </a:ext>
          </a:extLst>
        </xdr:cNvPr>
        <xdr:cNvSpPr txBox="1"/>
      </xdr:nvSpPr>
      <xdr:spPr>
        <a:xfrm rot="16200000">
          <a:off x="5505173" y="2418932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74747</xdr:colOff>
      <xdr:row>5</xdr:row>
      <xdr:rowOff>95792</xdr:rowOff>
    </xdr:from>
    <xdr:to>
      <xdr:col>25</xdr:col>
      <xdr:colOff>74747</xdr:colOff>
      <xdr:row>14</xdr:row>
      <xdr:rowOff>214798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B51FB0CB-CD6E-8298-13CF-6C35B7F08A61}"/>
            </a:ext>
          </a:extLst>
        </xdr:cNvPr>
        <xdr:cNvCxnSpPr/>
      </xdr:nvCxnSpPr>
      <xdr:spPr>
        <a:xfrm>
          <a:off x="5789747" y="1467392"/>
          <a:ext cx="0" cy="217640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78289</xdr:colOff>
      <xdr:row>7</xdr:row>
      <xdr:rowOff>209334</xdr:rowOff>
    </xdr:from>
    <xdr:ext cx="224998" cy="444352"/>
    <xdr:sp macro="" textlink="$T$5">
      <xdr:nvSpPr>
        <xdr:cNvPr id="36" name="テキスト ボックス 35">
          <a:extLst>
            <a:ext uri="{FF2B5EF4-FFF2-40B4-BE49-F238E27FC236}">
              <a16:creationId xmlns:a16="http://schemas.microsoft.com/office/drawing/2014/main" id="{383FF290-3DC2-3ED5-2487-243A0EAC41DA}"/>
            </a:ext>
          </a:extLst>
        </xdr:cNvPr>
        <xdr:cNvSpPr txBox="1"/>
      </xdr:nvSpPr>
      <xdr:spPr>
        <a:xfrm rot="16200000">
          <a:off x="5455012" y="214781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AFBE514-9F7D-492E-9CA5-B9FAD3C28E9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43543</xdr:colOff>
      <xdr:row>14</xdr:row>
      <xdr:rowOff>93666</xdr:rowOff>
    </xdr:from>
    <xdr:to>
      <xdr:col>27</xdr:col>
      <xdr:colOff>39188</xdr:colOff>
      <xdr:row>14</xdr:row>
      <xdr:rowOff>93666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4B994858-F846-2A98-8A91-6A8B72210D0B}"/>
            </a:ext>
          </a:extLst>
        </xdr:cNvPr>
        <xdr:cNvCxnSpPr/>
      </xdr:nvCxnSpPr>
      <xdr:spPr>
        <a:xfrm>
          <a:off x="5987143" y="352266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113936</xdr:colOff>
      <xdr:row>14</xdr:row>
      <xdr:rowOff>89680</xdr:rowOff>
    </xdr:from>
    <xdr:to>
      <xdr:col>26</xdr:col>
      <xdr:colOff>113936</xdr:colOff>
      <xdr:row>14</xdr:row>
      <xdr:rowOff>211600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2DD42260-D197-B987-94E2-A346207218DC}"/>
            </a:ext>
          </a:extLst>
        </xdr:cNvPr>
        <xdr:cNvCxnSpPr/>
      </xdr:nvCxnSpPr>
      <xdr:spPr>
        <a:xfrm>
          <a:off x="6057536" y="3518680"/>
          <a:ext cx="0" cy="12192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94617</xdr:colOff>
      <xdr:row>13</xdr:row>
      <xdr:rowOff>74351</xdr:rowOff>
    </xdr:from>
    <xdr:ext cx="224998" cy="444352"/>
    <xdr:sp macro="" textlink="$T$10">
      <xdr:nvSpPr>
        <xdr:cNvPr id="45" name="テキスト ボックス 44">
          <a:extLst>
            <a:ext uri="{FF2B5EF4-FFF2-40B4-BE49-F238E27FC236}">
              <a16:creationId xmlns:a16="http://schemas.microsoft.com/office/drawing/2014/main" id="{7637034F-F6EA-4DF9-8C1F-EDC7F879FA15}"/>
            </a:ext>
          </a:extLst>
        </xdr:cNvPr>
        <xdr:cNvSpPr txBox="1"/>
      </xdr:nvSpPr>
      <xdr:spPr>
        <a:xfrm rot="16200000">
          <a:off x="5699940" y="33844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5A89530-0547-4E10-A2C0-0375AF5193A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51698</xdr:colOff>
      <xdr:row>5</xdr:row>
      <xdr:rowOff>219076</xdr:rowOff>
    </xdr:from>
    <xdr:to>
      <xdr:col>31</xdr:col>
      <xdr:colOff>149837</xdr:colOff>
      <xdr:row>14</xdr:row>
      <xdr:rowOff>94443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7903FA82-83AE-3CA5-B01B-7692120C6550}"/>
            </a:ext>
          </a:extLst>
        </xdr:cNvPr>
        <xdr:cNvCxnSpPr/>
      </xdr:nvCxnSpPr>
      <xdr:spPr>
        <a:xfrm flipH="1">
          <a:off x="6681098" y="1590676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81620</xdr:colOff>
      <xdr:row>12</xdr:row>
      <xdr:rowOff>200106</xdr:rowOff>
    </xdr:from>
    <xdr:to>
      <xdr:col>29</xdr:col>
      <xdr:colOff>156754</xdr:colOff>
      <xdr:row>12</xdr:row>
      <xdr:rowOff>200106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1D59DAA7-EF33-925C-0C08-2DE135078DDC}"/>
            </a:ext>
          </a:extLst>
        </xdr:cNvPr>
        <xdr:cNvCxnSpPr/>
      </xdr:nvCxnSpPr>
      <xdr:spPr>
        <a:xfrm>
          <a:off x="6482420" y="3171906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181769</xdr:colOff>
      <xdr:row>11</xdr:row>
      <xdr:rowOff>86894</xdr:rowOff>
    </xdr:from>
    <xdr:to>
      <xdr:col>30</xdr:col>
      <xdr:colOff>26126</xdr:colOff>
      <xdr:row>11</xdr:row>
      <xdr:rowOff>86894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40E81F18-A419-E1FE-DA5E-50BF24C794CD}"/>
            </a:ext>
          </a:extLst>
        </xdr:cNvPr>
        <xdr:cNvCxnSpPr/>
      </xdr:nvCxnSpPr>
      <xdr:spPr>
        <a:xfrm>
          <a:off x="6582569" y="2830094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46786</xdr:colOff>
      <xdr:row>9</xdr:row>
      <xdr:rowOff>195752</xdr:rowOff>
    </xdr:from>
    <xdr:to>
      <xdr:col>30</xdr:col>
      <xdr:colOff>121920</xdr:colOff>
      <xdr:row>9</xdr:row>
      <xdr:rowOff>195752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81B98379-13E3-8C74-EF61-FF6F92F7D19E}"/>
            </a:ext>
          </a:extLst>
        </xdr:cNvPr>
        <xdr:cNvCxnSpPr/>
      </xdr:nvCxnSpPr>
      <xdr:spPr>
        <a:xfrm>
          <a:off x="6676186" y="2481752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151289</xdr:colOff>
      <xdr:row>8</xdr:row>
      <xdr:rowOff>71654</xdr:rowOff>
    </xdr:from>
    <xdr:to>
      <xdr:col>31</xdr:col>
      <xdr:colOff>4173</xdr:colOff>
      <xdr:row>8</xdr:row>
      <xdr:rowOff>71654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63814463-D4BB-2D36-5351-127A6001C5AF}"/>
            </a:ext>
          </a:extLst>
        </xdr:cNvPr>
        <xdr:cNvCxnSpPr/>
      </xdr:nvCxnSpPr>
      <xdr:spPr>
        <a:xfrm>
          <a:off x="6780689" y="2129054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29369</xdr:colOff>
      <xdr:row>6</xdr:row>
      <xdr:rowOff>182688</xdr:rowOff>
    </xdr:from>
    <xdr:to>
      <xdr:col>31</xdr:col>
      <xdr:colOff>104503</xdr:colOff>
      <xdr:row>6</xdr:row>
      <xdr:rowOff>182688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F31EA116-D791-A3A6-63A2-1D17A6B4C9BF}"/>
            </a:ext>
          </a:extLst>
        </xdr:cNvPr>
        <xdr:cNvCxnSpPr/>
      </xdr:nvCxnSpPr>
      <xdr:spPr>
        <a:xfrm>
          <a:off x="6887369" y="1782888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68149</xdr:colOff>
      <xdr:row>5</xdr:row>
      <xdr:rowOff>213577</xdr:rowOff>
    </xdr:from>
    <xdr:to>
      <xdr:col>32</xdr:col>
      <xdr:colOff>19050</xdr:colOff>
      <xdr:row>5</xdr:row>
      <xdr:rowOff>213577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4345A30A-90BE-951A-04DC-CD3BC0C4268E}"/>
            </a:ext>
          </a:extLst>
        </xdr:cNvPr>
        <xdr:cNvCxnSpPr/>
      </xdr:nvCxnSpPr>
      <xdr:spPr>
        <a:xfrm>
          <a:off x="6926149" y="1585177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156179</xdr:colOff>
      <xdr:row>3</xdr:row>
      <xdr:rowOff>48741</xdr:rowOff>
    </xdr:from>
    <xdr:ext cx="444352" cy="224998"/>
    <xdr:sp macro="" textlink="$T$7">
      <xdr:nvSpPr>
        <xdr:cNvPr id="2" name="テキスト ボックス 1">
          <a:extLst>
            <a:ext uri="{FF2B5EF4-FFF2-40B4-BE49-F238E27FC236}">
              <a16:creationId xmlns:a16="http://schemas.microsoft.com/office/drawing/2014/main" id="{09DE70CC-380D-F666-A002-39C8722B8D83}"/>
            </a:ext>
          </a:extLst>
        </xdr:cNvPr>
        <xdr:cNvSpPr txBox="1"/>
      </xdr:nvSpPr>
      <xdr:spPr>
        <a:xfrm>
          <a:off x="7014179" y="96314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9C965CA-F73D-431A-A5BD-0A8947BBD8B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186794</xdr:colOff>
      <xdr:row>3</xdr:row>
      <xdr:rowOff>50707</xdr:rowOff>
    </xdr:from>
    <xdr:ext cx="336311" cy="2249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029D32D-F8CE-19B0-6383-C19489E4A017}"/>
            </a:ext>
          </a:extLst>
        </xdr:cNvPr>
        <xdr:cNvSpPr txBox="1"/>
      </xdr:nvSpPr>
      <xdr:spPr>
        <a:xfrm>
          <a:off x="6816194" y="965107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117304</xdr:colOff>
      <xdr:row>4</xdr:row>
      <xdr:rowOff>110232</xdr:rowOff>
    </xdr:from>
    <xdr:to>
      <xdr:col>32</xdr:col>
      <xdr:colOff>56104</xdr:colOff>
      <xdr:row>4</xdr:row>
      <xdr:rowOff>110232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8B88CB6E-8562-7BF6-9D7E-B31D190AF7DC}"/>
            </a:ext>
          </a:extLst>
        </xdr:cNvPr>
        <xdr:cNvCxnSpPr/>
      </xdr:nvCxnSpPr>
      <xdr:spPr>
        <a:xfrm>
          <a:off x="6975304" y="1253232"/>
          <a:ext cx="396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114902</xdr:colOff>
      <xdr:row>4</xdr:row>
      <xdr:rowOff>38100</xdr:rowOff>
    </xdr:from>
    <xdr:to>
      <xdr:col>30</xdr:col>
      <xdr:colOff>114902</xdr:colOff>
      <xdr:row>5</xdr:row>
      <xdr:rowOff>2384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25A1B25B-6C6B-6773-EA8F-1AD0B5978FD8}"/>
            </a:ext>
          </a:extLst>
        </xdr:cNvPr>
        <xdr:cNvCxnSpPr/>
      </xdr:nvCxnSpPr>
      <xdr:spPr>
        <a:xfrm>
          <a:off x="6972902" y="1181100"/>
          <a:ext cx="0" cy="19288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58869</xdr:colOff>
      <xdr:row>4</xdr:row>
      <xdr:rowOff>28575</xdr:rowOff>
    </xdr:from>
    <xdr:to>
      <xdr:col>32</xdr:col>
      <xdr:colOff>58869</xdr:colOff>
      <xdr:row>4</xdr:row>
      <xdr:rowOff>211105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7B54E4E-EDA8-EE75-4FC7-B5C05D0FF228}"/>
            </a:ext>
          </a:extLst>
        </xdr:cNvPr>
        <xdr:cNvCxnSpPr/>
      </xdr:nvCxnSpPr>
      <xdr:spPr>
        <a:xfrm>
          <a:off x="7374069" y="1171575"/>
          <a:ext cx="0" cy="18253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33</xdr:col>
      <xdr:colOff>170817</xdr:colOff>
      <xdr:row>4</xdr:row>
      <xdr:rowOff>188651</xdr:rowOff>
    </xdr:from>
    <xdr:ext cx="224998" cy="444352"/>
    <xdr:sp macro="" textlink="$T$8">
      <xdr:nvSpPr>
        <xdr:cNvPr id="20" name="テキスト ボックス 19">
          <a:extLst>
            <a:ext uri="{FF2B5EF4-FFF2-40B4-BE49-F238E27FC236}">
              <a16:creationId xmlns:a16="http://schemas.microsoft.com/office/drawing/2014/main" id="{28475340-CA53-F5E6-00D9-9BB9FBF40CD5}"/>
            </a:ext>
          </a:extLst>
        </xdr:cNvPr>
        <xdr:cNvSpPr txBox="1"/>
      </xdr:nvSpPr>
      <xdr:spPr>
        <a:xfrm rot="16200000">
          <a:off x="7604940" y="14413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32</xdr:col>
      <xdr:colOff>150223</xdr:colOff>
      <xdr:row>5</xdr:row>
      <xdr:rowOff>223206</xdr:rowOff>
    </xdr:from>
    <xdr:to>
      <xdr:col>33</xdr:col>
      <xdr:colOff>145868</xdr:colOff>
      <xdr:row>5</xdr:row>
      <xdr:rowOff>223206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7D3D0A90-2CBF-F54A-1F03-ADD1A23FD197}"/>
            </a:ext>
          </a:extLst>
        </xdr:cNvPr>
        <xdr:cNvCxnSpPr/>
      </xdr:nvCxnSpPr>
      <xdr:spPr>
        <a:xfrm>
          <a:off x="7465423" y="159480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150223</xdr:colOff>
      <xdr:row>5</xdr:row>
      <xdr:rowOff>101286</xdr:rowOff>
    </xdr:from>
    <xdr:to>
      <xdr:col>33</xdr:col>
      <xdr:colOff>145868</xdr:colOff>
      <xdr:row>5</xdr:row>
      <xdr:rowOff>101286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3C7806FC-22F0-6642-3904-8A0ADE8A1D72}"/>
            </a:ext>
          </a:extLst>
        </xdr:cNvPr>
        <xdr:cNvCxnSpPr/>
      </xdr:nvCxnSpPr>
      <xdr:spPr>
        <a:xfrm>
          <a:off x="7465423" y="147288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33</xdr:col>
      <xdr:colOff>113936</xdr:colOff>
      <xdr:row>5</xdr:row>
      <xdr:rowOff>97300</xdr:rowOff>
    </xdr:from>
    <xdr:to>
      <xdr:col>33</xdr:col>
      <xdr:colOff>113936</xdr:colOff>
      <xdr:row>5</xdr:row>
      <xdr:rowOff>219220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27A256D3-CAA0-4B20-0BA0-F346FDE105CE}"/>
            </a:ext>
          </a:extLst>
        </xdr:cNvPr>
        <xdr:cNvCxnSpPr/>
      </xdr:nvCxnSpPr>
      <xdr:spPr>
        <a:xfrm>
          <a:off x="7657736" y="1468900"/>
          <a:ext cx="0" cy="12192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165430</xdr:colOff>
      <xdr:row>13</xdr:row>
      <xdr:rowOff>63348</xdr:rowOff>
    </xdr:from>
    <xdr:to>
      <xdr:col>27</xdr:col>
      <xdr:colOff>165430</xdr:colOff>
      <xdr:row>14</xdr:row>
      <xdr:rowOff>27632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07A50CB-9223-4D40-BAD5-11821A97729D}"/>
            </a:ext>
          </a:extLst>
        </xdr:cNvPr>
        <xdr:cNvCxnSpPr/>
      </xdr:nvCxnSpPr>
      <xdr:spPr>
        <a:xfrm>
          <a:off x="6427082" y="3426087"/>
          <a:ext cx="0" cy="20448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210151</xdr:colOff>
      <xdr:row>13</xdr:row>
      <xdr:rowOff>66654</xdr:rowOff>
    </xdr:from>
    <xdr:to>
      <xdr:col>27</xdr:col>
      <xdr:colOff>210151</xdr:colOff>
      <xdr:row>14</xdr:row>
      <xdr:rowOff>30938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7DD5B75-DF59-4551-A488-CEAB7D33BC3A}"/>
            </a:ext>
          </a:extLst>
        </xdr:cNvPr>
        <xdr:cNvCxnSpPr/>
      </xdr:nvCxnSpPr>
      <xdr:spPr>
        <a:xfrm>
          <a:off x="6471803" y="3429393"/>
          <a:ext cx="0" cy="20448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59295</xdr:colOff>
      <xdr:row>13</xdr:row>
      <xdr:rowOff>126851</xdr:rowOff>
    </xdr:from>
    <xdr:to>
      <xdr:col>27</xdr:col>
      <xdr:colOff>167295</xdr:colOff>
      <xdr:row>13</xdr:row>
      <xdr:rowOff>126851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24AD9489-2489-4219-A6E9-ED3486F040F7}"/>
            </a:ext>
          </a:extLst>
        </xdr:cNvPr>
        <xdr:cNvCxnSpPr/>
      </xdr:nvCxnSpPr>
      <xdr:spPr>
        <a:xfrm>
          <a:off x="6320947" y="3489590"/>
          <a:ext cx="108000" cy="0"/>
        </a:xfrm>
        <a:prstGeom prst="line">
          <a:avLst/>
        </a:prstGeom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203412</xdr:colOff>
      <xdr:row>13</xdr:row>
      <xdr:rowOff>121874</xdr:rowOff>
    </xdr:from>
    <xdr:to>
      <xdr:col>28</xdr:col>
      <xdr:colOff>79499</xdr:colOff>
      <xdr:row>13</xdr:row>
      <xdr:rowOff>121874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F8F7171-FAB8-4B8D-B70D-AE2AA057E899}"/>
            </a:ext>
          </a:extLst>
        </xdr:cNvPr>
        <xdr:cNvCxnSpPr/>
      </xdr:nvCxnSpPr>
      <xdr:spPr>
        <a:xfrm>
          <a:off x="6465064" y="3484613"/>
          <a:ext cx="10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168484</xdr:colOff>
      <xdr:row>12</xdr:row>
      <xdr:rowOff>53406</xdr:rowOff>
    </xdr:from>
    <xdr:ext cx="444352" cy="224998"/>
    <xdr:sp macro="" textlink="$T$11">
      <xdr:nvSpPr>
        <xdr:cNvPr id="26" name="テキスト ボックス 25">
          <a:extLst>
            <a:ext uri="{FF2B5EF4-FFF2-40B4-BE49-F238E27FC236}">
              <a16:creationId xmlns:a16="http://schemas.microsoft.com/office/drawing/2014/main" id="{730EA515-E2BD-6678-1F2C-381063C18F0B}"/>
            </a:ext>
          </a:extLst>
        </xdr:cNvPr>
        <xdr:cNvSpPr txBox="1"/>
      </xdr:nvSpPr>
      <xdr:spPr>
        <a:xfrm>
          <a:off x="6198223" y="31759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00C3FDA-70F2-4576-922C-64DC8EF7F63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33</xdr:col>
      <xdr:colOff>54153</xdr:colOff>
      <xdr:row>9</xdr:row>
      <xdr:rowOff>6771</xdr:rowOff>
    </xdr:from>
    <xdr:to>
      <xdr:col>33</xdr:col>
      <xdr:colOff>54153</xdr:colOff>
      <xdr:row>14</xdr:row>
      <xdr:rowOff>210843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346ACFE5-CAC8-F34A-4103-7F54F721E5A2}"/>
            </a:ext>
          </a:extLst>
        </xdr:cNvPr>
        <xdr:cNvCxnSpPr/>
      </xdr:nvCxnSpPr>
      <xdr:spPr>
        <a:xfrm>
          <a:off x="7597953" y="2064171"/>
          <a:ext cx="0" cy="134707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68109</xdr:colOff>
      <xdr:row>14</xdr:row>
      <xdr:rowOff>211232</xdr:rowOff>
    </xdr:from>
    <xdr:to>
      <xdr:col>33</xdr:col>
      <xdr:colOff>159608</xdr:colOff>
      <xdr:row>14</xdr:row>
      <xdr:rowOff>211232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F3C74CDC-0774-0465-D283-7138C871C419}"/>
            </a:ext>
          </a:extLst>
        </xdr:cNvPr>
        <xdr:cNvCxnSpPr/>
      </xdr:nvCxnSpPr>
      <xdr:spPr>
        <a:xfrm>
          <a:off x="6864325" y="3382800"/>
          <a:ext cx="77112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220133</xdr:colOff>
      <xdr:row>9</xdr:row>
      <xdr:rowOff>14091</xdr:rowOff>
    </xdr:from>
    <xdr:to>
      <xdr:col>34</xdr:col>
      <xdr:colOff>46338</xdr:colOff>
      <xdr:row>9</xdr:row>
      <xdr:rowOff>14091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06A0EF5D-3BD5-D952-2AC0-789F7DA53742}"/>
            </a:ext>
          </a:extLst>
        </xdr:cNvPr>
        <xdr:cNvCxnSpPr/>
      </xdr:nvCxnSpPr>
      <xdr:spPr>
        <a:xfrm>
          <a:off x="6163733" y="2071491"/>
          <a:ext cx="165500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33</xdr:col>
      <xdr:colOff>31804</xdr:colOff>
      <xdr:row>10</xdr:row>
      <xdr:rowOff>1806</xdr:rowOff>
    </xdr:from>
    <xdr:ext cx="224998" cy="444352"/>
    <xdr:sp macro="" textlink="$T$37">
      <xdr:nvSpPr>
        <xdr:cNvPr id="30" name="テキスト ボックス 29">
          <a:extLst>
            <a:ext uri="{FF2B5EF4-FFF2-40B4-BE49-F238E27FC236}">
              <a16:creationId xmlns:a16="http://schemas.microsoft.com/office/drawing/2014/main" id="{D686564A-7055-362B-6693-6FDBCE0958A8}"/>
            </a:ext>
          </a:extLst>
        </xdr:cNvPr>
        <xdr:cNvSpPr txBox="1"/>
      </xdr:nvSpPr>
      <xdr:spPr>
        <a:xfrm rot="16200000">
          <a:off x="7465927" y="239748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BE753FC-F0DC-4507-B6DB-9639CDCC7862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33</xdr:col>
      <xdr:colOff>25469</xdr:colOff>
      <xdr:row>11</xdr:row>
      <xdr:rowOff>86174</xdr:rowOff>
    </xdr:from>
    <xdr:ext cx="224998" cy="387607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A707E8A1-E27E-FE29-E149-626C48088F6A}"/>
            </a:ext>
          </a:extLst>
        </xdr:cNvPr>
        <xdr:cNvSpPr txBox="1"/>
      </xdr:nvSpPr>
      <xdr:spPr>
        <a:xfrm rot="16200000">
          <a:off x="7487964" y="268207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32</xdr:col>
      <xdr:colOff>30892</xdr:colOff>
      <xdr:row>9</xdr:row>
      <xdr:rowOff>36564</xdr:rowOff>
    </xdr:from>
    <xdr:to>
      <xdr:col>32</xdr:col>
      <xdr:colOff>195649</xdr:colOff>
      <xdr:row>9</xdr:row>
      <xdr:rowOff>36564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CEF2BD73-23EA-E78D-F9C4-C0B6B81BB956}"/>
            </a:ext>
          </a:extLst>
        </xdr:cNvPr>
        <xdr:cNvCxnSpPr/>
      </xdr:nvCxnSpPr>
      <xdr:spPr>
        <a:xfrm>
          <a:off x="7346092" y="2093964"/>
          <a:ext cx="16475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69516</xdr:colOff>
      <xdr:row>9</xdr:row>
      <xdr:rowOff>60627</xdr:rowOff>
    </xdr:from>
    <xdr:to>
      <xdr:col>32</xdr:col>
      <xdr:colOff>160421</xdr:colOff>
      <xdr:row>9</xdr:row>
      <xdr:rowOff>60627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89AD3975-C99F-35E9-9A6B-339998B47757}"/>
            </a:ext>
          </a:extLst>
        </xdr:cNvPr>
        <xdr:cNvCxnSpPr/>
      </xdr:nvCxnSpPr>
      <xdr:spPr>
        <a:xfrm>
          <a:off x="7384716" y="2118027"/>
          <a:ext cx="9090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90906</xdr:colOff>
      <xdr:row>9</xdr:row>
      <xdr:rowOff>84690</xdr:rowOff>
    </xdr:from>
    <xdr:to>
      <xdr:col>32</xdr:col>
      <xdr:colOff>133684</xdr:colOff>
      <xdr:row>9</xdr:row>
      <xdr:rowOff>84690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BE96073A-BFAB-0B3B-18B9-FE2E7E5F2304}"/>
            </a:ext>
          </a:extLst>
        </xdr:cNvPr>
        <xdr:cNvCxnSpPr/>
      </xdr:nvCxnSpPr>
      <xdr:spPr>
        <a:xfrm>
          <a:off x="7406106" y="2142090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69516</xdr:colOff>
      <xdr:row>8</xdr:row>
      <xdr:rowOff>191936</xdr:rowOff>
    </xdr:from>
    <xdr:to>
      <xdr:col>32</xdr:col>
      <xdr:colOff>152400</xdr:colOff>
      <xdr:row>9</xdr:row>
      <xdr:rowOff>7719</xdr:rowOff>
    </xdr:to>
    <xdr:sp macro="" textlink="">
      <xdr:nvSpPr>
        <xdr:cNvPr id="59" name="二等辺三角形 58">
          <a:extLst>
            <a:ext uri="{FF2B5EF4-FFF2-40B4-BE49-F238E27FC236}">
              <a16:creationId xmlns:a16="http://schemas.microsoft.com/office/drawing/2014/main" id="{355FB9AC-A4A8-C171-F259-3EBD5EC77FDD}"/>
            </a:ext>
          </a:extLst>
        </xdr:cNvPr>
        <xdr:cNvSpPr/>
      </xdr:nvSpPr>
      <xdr:spPr>
        <a:xfrm rot="10800000">
          <a:off x="7384716" y="2020736"/>
          <a:ext cx="82884" cy="44383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92787</xdr:colOff>
      <xdr:row>6</xdr:row>
      <xdr:rowOff>113166</xdr:rowOff>
    </xdr:from>
    <xdr:to>
      <xdr:col>8</xdr:col>
      <xdr:colOff>115572</xdr:colOff>
      <xdr:row>10</xdr:row>
      <xdr:rowOff>64848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42F330BD-87A4-5D2B-9DD0-E34E09814CCA}"/>
            </a:ext>
          </a:extLst>
        </xdr:cNvPr>
        <xdr:cNvCxnSpPr/>
      </xdr:nvCxnSpPr>
      <xdr:spPr>
        <a:xfrm flipH="1">
          <a:off x="1461050" y="1253385"/>
          <a:ext cx="250829" cy="86385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90057</xdr:colOff>
      <xdr:row>10</xdr:row>
      <xdr:rowOff>62890</xdr:rowOff>
    </xdr:from>
    <xdr:to>
      <xdr:col>12</xdr:col>
      <xdr:colOff>123092</xdr:colOff>
      <xdr:row>10</xdr:row>
      <xdr:rowOff>62890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30455302-5C31-9400-7684-D12B6E71503A}"/>
            </a:ext>
          </a:extLst>
        </xdr:cNvPr>
        <xdr:cNvCxnSpPr/>
      </xdr:nvCxnSpPr>
      <xdr:spPr>
        <a:xfrm>
          <a:off x="1458320" y="2115284"/>
          <a:ext cx="1173254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92787</xdr:colOff>
      <xdr:row>18</xdr:row>
      <xdr:rowOff>93810</xdr:rowOff>
    </xdr:from>
    <xdr:to>
      <xdr:col>8</xdr:col>
      <xdr:colOff>115572</xdr:colOff>
      <xdr:row>22</xdr:row>
      <xdr:rowOff>45493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0A005040-9AFA-26B1-88E5-6D2061FD8E12}"/>
            </a:ext>
          </a:extLst>
        </xdr:cNvPr>
        <xdr:cNvCxnSpPr/>
      </xdr:nvCxnSpPr>
      <xdr:spPr>
        <a:xfrm flipH="1">
          <a:off x="1461050" y="3970555"/>
          <a:ext cx="250829" cy="86385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90057</xdr:colOff>
      <xdr:row>22</xdr:row>
      <xdr:rowOff>43534</xdr:rowOff>
    </xdr:from>
    <xdr:to>
      <xdr:col>12</xdr:col>
      <xdr:colOff>123092</xdr:colOff>
      <xdr:row>22</xdr:row>
      <xdr:rowOff>43534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57B4E000-74CF-96A3-6C01-F2328DE1BA42}"/>
            </a:ext>
          </a:extLst>
        </xdr:cNvPr>
        <xdr:cNvCxnSpPr/>
      </xdr:nvCxnSpPr>
      <xdr:spPr>
        <a:xfrm>
          <a:off x="1458320" y="4832454"/>
          <a:ext cx="1173254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90267</xdr:colOff>
      <xdr:row>19</xdr:row>
      <xdr:rowOff>198732</xdr:rowOff>
    </xdr:from>
    <xdr:to>
      <xdr:col>11</xdr:col>
      <xdr:colOff>190500</xdr:colOff>
      <xdr:row>22</xdr:row>
      <xdr:rowOff>56297</xdr:rowOff>
    </xdr:to>
    <xdr:sp macro="" textlink="">
      <xdr:nvSpPr>
        <xdr:cNvPr id="173" name="平行四辺形 172">
          <a:extLst>
            <a:ext uri="{FF2B5EF4-FFF2-40B4-BE49-F238E27FC236}">
              <a16:creationId xmlns:a16="http://schemas.microsoft.com/office/drawing/2014/main" id="{294C815D-D72D-3E65-192B-E5E2BC198F05}"/>
            </a:ext>
          </a:extLst>
        </xdr:cNvPr>
        <xdr:cNvSpPr/>
      </xdr:nvSpPr>
      <xdr:spPr>
        <a:xfrm>
          <a:off x="1458530" y="4303520"/>
          <a:ext cx="1012408" cy="541697"/>
        </a:xfrm>
        <a:prstGeom prst="parallelogram">
          <a:avLst>
            <a:gd name="adj" fmla="val 29541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41</xdr:col>
      <xdr:colOff>152399</xdr:colOff>
      <xdr:row>30</xdr:row>
      <xdr:rowOff>195942</xdr:rowOff>
    </xdr:from>
    <xdr:to>
      <xdr:col>47</xdr:col>
      <xdr:colOff>184799</xdr:colOff>
      <xdr:row>32</xdr:row>
      <xdr:rowOff>62742</xdr:rowOff>
    </xdr:to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CC08D434-EF3D-5446-5364-59DE24924AA7}"/>
            </a:ext>
          </a:extLst>
        </xdr:cNvPr>
        <xdr:cNvSpPr/>
      </xdr:nvSpPr>
      <xdr:spPr>
        <a:xfrm>
          <a:off x="9296399" y="6825342"/>
          <a:ext cx="1404000" cy="324000"/>
        </a:xfrm>
        <a:prstGeom prst="rect">
          <a:avLst/>
        </a:prstGeom>
        <a:noFill/>
        <a:ln w="254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165227</xdr:colOff>
      <xdr:row>6</xdr:row>
      <xdr:rowOff>88949</xdr:rowOff>
    </xdr:from>
    <xdr:ext cx="224998" cy="40363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17A9793-E50B-4D85-A928-D6A4659D7035}"/>
            </a:ext>
          </a:extLst>
        </xdr:cNvPr>
        <xdr:cNvSpPr txBox="1"/>
      </xdr:nvSpPr>
      <xdr:spPr>
        <a:xfrm rot="16200000">
          <a:off x="760038" y="1318488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108642</xdr:colOff>
      <xdr:row>6</xdr:row>
      <xdr:rowOff>94321</xdr:rowOff>
    </xdr:from>
    <xdr:to>
      <xdr:col>13</xdr:col>
      <xdr:colOff>153643</xdr:colOff>
      <xdr:row>6</xdr:row>
      <xdr:rowOff>94321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5C0EC6B0-586E-465C-9E0D-91F74D75240D}"/>
            </a:ext>
          </a:extLst>
        </xdr:cNvPr>
        <xdr:cNvCxnSpPr/>
      </xdr:nvCxnSpPr>
      <xdr:spPr>
        <a:xfrm>
          <a:off x="1704949" y="1234540"/>
          <a:ext cx="118522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209688</xdr:colOff>
      <xdr:row>4</xdr:row>
      <xdr:rowOff>140865</xdr:rowOff>
    </xdr:from>
    <xdr:ext cx="336311" cy="22499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8F87B7A-8309-4A1E-B7E0-AE4287971898}"/>
            </a:ext>
          </a:extLst>
        </xdr:cNvPr>
        <xdr:cNvSpPr txBox="1"/>
      </xdr:nvSpPr>
      <xdr:spPr>
        <a:xfrm>
          <a:off x="2038488" y="82666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</xdr:col>
      <xdr:colOff>32843</xdr:colOff>
      <xdr:row>6</xdr:row>
      <xdr:rowOff>97404</xdr:rowOff>
    </xdr:from>
    <xdr:to>
      <xdr:col>7</xdr:col>
      <xdr:colOff>4793</xdr:colOff>
      <xdr:row>6</xdr:row>
      <xdr:rowOff>99341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8FE17B1D-D58A-45A1-A485-18EC790E9427}"/>
            </a:ext>
          </a:extLst>
        </xdr:cNvPr>
        <xdr:cNvCxnSpPr/>
      </xdr:nvCxnSpPr>
      <xdr:spPr>
        <a:xfrm>
          <a:off x="1173062" y="1237623"/>
          <a:ext cx="199994" cy="1937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100884</xdr:colOff>
      <xdr:row>6</xdr:row>
      <xdr:rowOff>93469</xdr:rowOff>
    </xdr:from>
    <xdr:to>
      <xdr:col>6</xdr:col>
      <xdr:colOff>100884</xdr:colOff>
      <xdr:row>7</xdr:row>
      <xdr:rowOff>224313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FAA122F-5AEB-4ECE-BE2F-A88C38F725CB}"/>
            </a:ext>
          </a:extLst>
        </xdr:cNvPr>
        <xdr:cNvCxnSpPr/>
      </xdr:nvCxnSpPr>
      <xdr:spPr>
        <a:xfrm>
          <a:off x="1241103" y="1233688"/>
          <a:ext cx="0" cy="3588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7</xdr:row>
      <xdr:rowOff>221401</xdr:rowOff>
    </xdr:from>
    <xdr:to>
      <xdr:col>6</xdr:col>
      <xdr:colOff>214737</xdr:colOff>
      <xdr:row>7</xdr:row>
      <xdr:rowOff>221401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C11997F-C484-4281-B7D5-E26A38F0F177}"/>
            </a:ext>
          </a:extLst>
        </xdr:cNvPr>
        <xdr:cNvCxnSpPr/>
      </xdr:nvCxnSpPr>
      <xdr:spPr>
        <a:xfrm>
          <a:off x="1187350" y="1589664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</xdr:col>
      <xdr:colOff>120837</xdr:colOff>
      <xdr:row>5</xdr:row>
      <xdr:rowOff>71288</xdr:rowOff>
    </xdr:from>
    <xdr:to>
      <xdr:col>13</xdr:col>
      <xdr:colOff>120837</xdr:colOff>
      <xdr:row>6</xdr:row>
      <xdr:rowOff>4686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3EAC731E-0050-4208-A01A-326F9D7E172F}"/>
            </a:ext>
          </a:extLst>
        </xdr:cNvPr>
        <xdr:cNvCxnSpPr/>
      </xdr:nvCxnSpPr>
      <xdr:spPr>
        <a:xfrm>
          <a:off x="2864037" y="985688"/>
          <a:ext cx="0" cy="1619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94705</xdr:colOff>
      <xdr:row>5</xdr:row>
      <xdr:rowOff>71288</xdr:rowOff>
    </xdr:from>
    <xdr:to>
      <xdr:col>8</xdr:col>
      <xdr:colOff>94705</xdr:colOff>
      <xdr:row>6</xdr:row>
      <xdr:rowOff>3981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16A91AB3-216A-49BD-A22F-F99172A14559}"/>
            </a:ext>
          </a:extLst>
        </xdr:cNvPr>
        <xdr:cNvCxnSpPr/>
      </xdr:nvCxnSpPr>
      <xdr:spPr>
        <a:xfrm>
          <a:off x="1694905" y="985688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88265</xdr:colOff>
      <xdr:row>5</xdr:row>
      <xdr:rowOff>104201</xdr:rowOff>
    </xdr:from>
    <xdr:to>
      <xdr:col>13</xdr:col>
      <xdr:colOff>123601</xdr:colOff>
      <xdr:row>5</xdr:row>
      <xdr:rowOff>104201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AC2D7714-B141-45F2-842D-6443D6D13ECD}"/>
            </a:ext>
          </a:extLst>
        </xdr:cNvPr>
        <xdr:cNvCxnSpPr/>
      </xdr:nvCxnSpPr>
      <xdr:spPr>
        <a:xfrm>
          <a:off x="1688465" y="1018601"/>
          <a:ext cx="117833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217414</xdr:colOff>
      <xdr:row>10</xdr:row>
      <xdr:rowOff>19261</xdr:rowOff>
    </xdr:from>
    <xdr:ext cx="357790" cy="285527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7ABA9700-090C-487B-A278-A16C2AE61EAE}"/>
            </a:ext>
          </a:extLst>
        </xdr:cNvPr>
        <xdr:cNvSpPr txBox="1"/>
      </xdr:nvSpPr>
      <xdr:spPr>
        <a:xfrm>
          <a:off x="1357633" y="2071655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twoCellAnchor editAs="oneCell">
    <xdr:from>
      <xdr:col>7</xdr:col>
      <xdr:colOff>78576</xdr:colOff>
      <xdr:row>10</xdr:row>
      <xdr:rowOff>45893</xdr:rowOff>
    </xdr:from>
    <xdr:to>
      <xdr:col>7</xdr:col>
      <xdr:colOff>116240</xdr:colOff>
      <xdr:row>10</xdr:row>
      <xdr:rowOff>88879</xdr:rowOff>
    </xdr:to>
    <xdr:sp macro="" textlink="">
      <xdr:nvSpPr>
        <xdr:cNvPr id="73" name="楕円 72">
          <a:extLst>
            <a:ext uri="{FF2B5EF4-FFF2-40B4-BE49-F238E27FC236}">
              <a16:creationId xmlns:a16="http://schemas.microsoft.com/office/drawing/2014/main" id="{405F8727-3649-C13C-4C1E-CD22FA8862DE}"/>
            </a:ext>
          </a:extLst>
        </xdr:cNvPr>
        <xdr:cNvSpPr/>
      </xdr:nvSpPr>
      <xdr:spPr>
        <a:xfrm>
          <a:off x="1446839" y="209828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10</xdr:col>
      <xdr:colOff>166144</xdr:colOff>
      <xdr:row>4</xdr:row>
      <xdr:rowOff>140865</xdr:rowOff>
    </xdr:from>
    <xdr:ext cx="444352" cy="224998"/>
    <xdr:sp macro="" textlink="$AF$5">
      <xdr:nvSpPr>
        <xdr:cNvPr id="5" name="テキスト ボックス 4">
          <a:extLst>
            <a:ext uri="{FF2B5EF4-FFF2-40B4-BE49-F238E27FC236}">
              <a16:creationId xmlns:a16="http://schemas.microsoft.com/office/drawing/2014/main" id="{696540E2-E2BE-4E72-B92E-A7CA29FA917F}"/>
            </a:ext>
          </a:extLst>
        </xdr:cNvPr>
        <xdr:cNvSpPr txBox="1"/>
      </xdr:nvSpPr>
      <xdr:spPr>
        <a:xfrm>
          <a:off x="2223544" y="82666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D705F07-767E-49F0-BDDD-B7617C636D8D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</xdr:col>
      <xdr:colOff>80580</xdr:colOff>
      <xdr:row>6</xdr:row>
      <xdr:rowOff>54237</xdr:rowOff>
    </xdr:from>
    <xdr:ext cx="224998" cy="444352"/>
    <xdr:sp macro="" textlink="$AF$6">
      <xdr:nvSpPr>
        <xdr:cNvPr id="7" name="テキスト ボックス 6">
          <a:extLst>
            <a:ext uri="{FF2B5EF4-FFF2-40B4-BE49-F238E27FC236}">
              <a16:creationId xmlns:a16="http://schemas.microsoft.com/office/drawing/2014/main" id="{01A72FFB-D19C-4180-8C80-647B8BB38C6F}"/>
            </a:ext>
          </a:extLst>
        </xdr:cNvPr>
        <xdr:cNvSpPr txBox="1"/>
      </xdr:nvSpPr>
      <xdr:spPr>
        <a:xfrm rot="16200000">
          <a:off x="883078" y="130413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416343-1F6B-4DA5-B606-7ADEF54C2E7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16502</xdr:colOff>
      <xdr:row>7</xdr:row>
      <xdr:rowOff>212828</xdr:rowOff>
    </xdr:from>
    <xdr:to>
      <xdr:col>13</xdr:col>
      <xdr:colOff>64130</xdr:colOff>
      <xdr:row>7</xdr:row>
      <xdr:rowOff>212828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5E1B478B-5F09-0280-2F4E-6E1DB6625673}"/>
            </a:ext>
          </a:extLst>
        </xdr:cNvPr>
        <xdr:cNvCxnSpPr/>
      </xdr:nvCxnSpPr>
      <xdr:spPr>
        <a:xfrm>
          <a:off x="1612809" y="1581091"/>
          <a:ext cx="1187847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43143</xdr:colOff>
      <xdr:row>7</xdr:row>
      <xdr:rowOff>212062</xdr:rowOff>
    </xdr:from>
    <xdr:to>
      <xdr:col>11</xdr:col>
      <xdr:colOff>193090</xdr:colOff>
      <xdr:row>10</xdr:row>
      <xdr:rowOff>64848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6FB0EB6E-60A5-5C77-F749-888BE339313B}"/>
            </a:ext>
          </a:extLst>
        </xdr:cNvPr>
        <xdr:cNvCxnSpPr/>
      </xdr:nvCxnSpPr>
      <xdr:spPr>
        <a:xfrm flipH="1">
          <a:off x="2323581" y="1580325"/>
          <a:ext cx="149947" cy="53691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100885</xdr:colOff>
      <xdr:row>7</xdr:row>
      <xdr:rowOff>210143</xdr:rowOff>
    </xdr:from>
    <xdr:to>
      <xdr:col>6</xdr:col>
      <xdr:colOff>100885</xdr:colOff>
      <xdr:row>10</xdr:row>
      <xdr:rowOff>64900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DC71C3FD-6608-C4D3-7128-8E5607C05088}"/>
            </a:ext>
          </a:extLst>
        </xdr:cNvPr>
        <xdr:cNvCxnSpPr/>
      </xdr:nvCxnSpPr>
      <xdr:spPr>
        <a:xfrm>
          <a:off x="1241104" y="1578406"/>
          <a:ext cx="0" cy="5388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10</xdr:row>
      <xdr:rowOff>64303</xdr:rowOff>
    </xdr:from>
    <xdr:to>
      <xdr:col>6</xdr:col>
      <xdr:colOff>214737</xdr:colOff>
      <xdr:row>10</xdr:row>
      <xdr:rowOff>64303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23250EA4-5417-3612-F1F1-799D34471F75}"/>
            </a:ext>
          </a:extLst>
        </xdr:cNvPr>
        <xdr:cNvCxnSpPr/>
      </xdr:nvCxnSpPr>
      <xdr:spPr>
        <a:xfrm>
          <a:off x="1187350" y="2116697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80580</xdr:colOff>
      <xdr:row>8</xdr:row>
      <xdr:rowOff>19596</xdr:rowOff>
    </xdr:from>
    <xdr:ext cx="224998" cy="444352"/>
    <xdr:sp macro="" textlink="$AF$7">
      <xdr:nvSpPr>
        <xdr:cNvPr id="60" name="テキスト ボックス 59">
          <a:extLst>
            <a:ext uri="{FF2B5EF4-FFF2-40B4-BE49-F238E27FC236}">
              <a16:creationId xmlns:a16="http://schemas.microsoft.com/office/drawing/2014/main" id="{06603883-629F-8A8A-B3DB-E4C6DE4B8BEB}"/>
            </a:ext>
          </a:extLst>
        </xdr:cNvPr>
        <xdr:cNvSpPr txBox="1"/>
      </xdr:nvSpPr>
      <xdr:spPr>
        <a:xfrm rot="16200000">
          <a:off x="883078" y="17255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twoCellAnchor editAs="oneCell">
    <xdr:from>
      <xdr:col>8</xdr:col>
      <xdr:colOff>5850</xdr:colOff>
      <xdr:row>5</xdr:row>
      <xdr:rowOff>71288</xdr:rowOff>
    </xdr:from>
    <xdr:to>
      <xdr:col>8</xdr:col>
      <xdr:colOff>5850</xdr:colOff>
      <xdr:row>6</xdr:row>
      <xdr:rowOff>3981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475509A0-0A82-E882-D280-7C50EA9E6BDF}"/>
            </a:ext>
          </a:extLst>
        </xdr:cNvPr>
        <xdr:cNvCxnSpPr/>
      </xdr:nvCxnSpPr>
      <xdr:spPr>
        <a:xfrm>
          <a:off x="1606050" y="985688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224900</xdr:colOff>
      <xdr:row>5</xdr:row>
      <xdr:rowOff>104201</xdr:rowOff>
    </xdr:from>
    <xdr:to>
      <xdr:col>8</xdr:col>
      <xdr:colOff>98776</xdr:colOff>
      <xdr:row>5</xdr:row>
      <xdr:rowOff>104201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918F05E2-DF4F-7357-6245-496310917FAD}"/>
            </a:ext>
          </a:extLst>
        </xdr:cNvPr>
        <xdr:cNvCxnSpPr/>
      </xdr:nvCxnSpPr>
      <xdr:spPr>
        <a:xfrm>
          <a:off x="1596500" y="1018601"/>
          <a:ext cx="10247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129359</xdr:colOff>
      <xdr:row>4</xdr:row>
      <xdr:rowOff>125100</xdr:rowOff>
    </xdr:from>
    <xdr:ext cx="444352" cy="224998"/>
    <xdr:sp macro="" textlink="$AF$9">
      <xdr:nvSpPr>
        <xdr:cNvPr id="88" name="テキスト ボックス 87">
          <a:extLst>
            <a:ext uri="{FF2B5EF4-FFF2-40B4-BE49-F238E27FC236}">
              <a16:creationId xmlns:a16="http://schemas.microsoft.com/office/drawing/2014/main" id="{AA33B882-27F2-6241-226F-B9760CD80AA9}"/>
            </a:ext>
          </a:extLst>
        </xdr:cNvPr>
        <xdr:cNvSpPr txBox="1"/>
      </xdr:nvSpPr>
      <xdr:spPr>
        <a:xfrm>
          <a:off x="1500959" y="81090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A0E6C33-B0BC-4B04-9472-DB0061C5938F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0.120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7</xdr:col>
      <xdr:colOff>136115</xdr:colOff>
      <xdr:row>4</xdr:row>
      <xdr:rowOff>17368</xdr:rowOff>
    </xdr:from>
    <xdr:ext cx="370935" cy="224998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795746CF-393B-EFA1-E2CE-71E189C8C7E7}"/>
            </a:ext>
          </a:extLst>
        </xdr:cNvPr>
        <xdr:cNvSpPr txBox="1"/>
      </xdr:nvSpPr>
      <xdr:spPr>
        <a:xfrm>
          <a:off x="1507715" y="703168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₁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7</xdr:col>
      <xdr:colOff>94706</xdr:colOff>
      <xdr:row>5</xdr:row>
      <xdr:rowOff>79656</xdr:rowOff>
    </xdr:from>
    <xdr:to>
      <xdr:col>7</xdr:col>
      <xdr:colOff>94706</xdr:colOff>
      <xdr:row>6</xdr:row>
      <xdr:rowOff>9239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F6933D9-999F-43D9-BDF0-26B06CA4FF2C}"/>
            </a:ext>
          </a:extLst>
        </xdr:cNvPr>
        <xdr:cNvCxnSpPr/>
      </xdr:nvCxnSpPr>
      <xdr:spPr>
        <a:xfrm>
          <a:off x="1466306" y="994056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93521</xdr:colOff>
      <xdr:row>5</xdr:row>
      <xdr:rowOff>104206</xdr:rowOff>
    </xdr:from>
    <xdr:to>
      <xdr:col>7</xdr:col>
      <xdr:colOff>219649</xdr:colOff>
      <xdr:row>5</xdr:row>
      <xdr:rowOff>104206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30FC644-E93E-42D1-A27A-714309E634F8}"/>
            </a:ext>
          </a:extLst>
        </xdr:cNvPr>
        <xdr:cNvCxnSpPr/>
      </xdr:nvCxnSpPr>
      <xdr:spPr>
        <a:xfrm>
          <a:off x="1465121" y="1018606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204432</xdr:colOff>
      <xdr:row>4</xdr:row>
      <xdr:rowOff>17368</xdr:rowOff>
    </xdr:from>
    <xdr:ext cx="370935" cy="224998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25A1E12B-E09A-96FB-5DE3-D2A3293AB759}"/>
            </a:ext>
          </a:extLst>
        </xdr:cNvPr>
        <xdr:cNvSpPr txBox="1"/>
      </xdr:nvSpPr>
      <xdr:spPr>
        <a:xfrm>
          <a:off x="1118832" y="703168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</xdr:col>
      <xdr:colOff>8972</xdr:colOff>
      <xdr:row>4</xdr:row>
      <xdr:rowOff>130355</xdr:rowOff>
    </xdr:from>
    <xdr:ext cx="444352" cy="224998"/>
    <xdr:sp macro="" textlink="$AF$10">
      <xdr:nvSpPr>
        <xdr:cNvPr id="50" name="テキスト ボックス 49">
          <a:extLst>
            <a:ext uri="{FF2B5EF4-FFF2-40B4-BE49-F238E27FC236}">
              <a16:creationId xmlns:a16="http://schemas.microsoft.com/office/drawing/2014/main" id="{7398C91B-AD41-66D0-8FDA-48EA420BECD9}"/>
            </a:ext>
          </a:extLst>
        </xdr:cNvPr>
        <xdr:cNvSpPr txBox="1"/>
      </xdr:nvSpPr>
      <xdr:spPr>
        <a:xfrm>
          <a:off x="1151972" y="8161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8</xdr:row>
      <xdr:rowOff>130993</xdr:rowOff>
    </xdr:from>
    <xdr:ext cx="224998" cy="403637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8A08A453-D52D-F1AA-1736-812133B26BD6}"/>
            </a:ext>
          </a:extLst>
        </xdr:cNvPr>
        <xdr:cNvSpPr txBox="1"/>
      </xdr:nvSpPr>
      <xdr:spPr>
        <a:xfrm rot="16200000">
          <a:off x="760039" y="1816620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12</xdr:col>
      <xdr:colOff>130230</xdr:colOff>
      <xdr:row>6</xdr:row>
      <xdr:rowOff>119028</xdr:rowOff>
    </xdr:from>
    <xdr:to>
      <xdr:col>13</xdr:col>
      <xdr:colOff>141370</xdr:colOff>
      <xdr:row>10</xdr:row>
      <xdr:rowOff>64848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DDB6927F-112A-F120-207E-6920BD49521E}"/>
            </a:ext>
          </a:extLst>
        </xdr:cNvPr>
        <xdr:cNvCxnSpPr/>
      </xdr:nvCxnSpPr>
      <xdr:spPr>
        <a:xfrm flipH="1">
          <a:off x="2638712" y="1259247"/>
          <a:ext cx="239184" cy="85799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29307</xdr:colOff>
      <xdr:row>6</xdr:row>
      <xdr:rowOff>89720</xdr:rowOff>
    </xdr:from>
    <xdr:to>
      <xdr:col>13</xdr:col>
      <xdr:colOff>140677</xdr:colOff>
      <xdr:row>7</xdr:row>
      <xdr:rowOff>212257</xdr:rowOff>
    </xdr:to>
    <xdr:sp macro="" textlink="">
      <xdr:nvSpPr>
        <xdr:cNvPr id="120" name="平行四辺形 119">
          <a:extLst>
            <a:ext uri="{FF2B5EF4-FFF2-40B4-BE49-F238E27FC236}">
              <a16:creationId xmlns:a16="http://schemas.microsoft.com/office/drawing/2014/main" id="{A254715D-3424-B1F7-26E3-B6DB89C9A6CB}"/>
            </a:ext>
          </a:extLst>
        </xdr:cNvPr>
        <xdr:cNvSpPr/>
      </xdr:nvSpPr>
      <xdr:spPr>
        <a:xfrm>
          <a:off x="1625614" y="1229939"/>
          <a:ext cx="1251589" cy="350581"/>
        </a:xfrm>
        <a:prstGeom prst="parallelogram">
          <a:avLst>
            <a:gd name="adj" fmla="val 26666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165227</xdr:colOff>
      <xdr:row>18</xdr:row>
      <xdr:rowOff>69593</xdr:rowOff>
    </xdr:from>
    <xdr:ext cx="224998" cy="403637"/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8B9D231F-550D-EFC8-59A6-244EC6949398}"/>
            </a:ext>
          </a:extLst>
        </xdr:cNvPr>
        <xdr:cNvSpPr txBox="1"/>
      </xdr:nvSpPr>
      <xdr:spPr>
        <a:xfrm rot="16200000">
          <a:off x="760038" y="4035658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108642</xdr:colOff>
      <xdr:row>18</xdr:row>
      <xdr:rowOff>74965</xdr:rowOff>
    </xdr:from>
    <xdr:to>
      <xdr:col>13</xdr:col>
      <xdr:colOff>153643</xdr:colOff>
      <xdr:row>18</xdr:row>
      <xdr:rowOff>74965</xdr:rowOff>
    </xdr:to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EE84CA26-5B8C-2264-4914-51C2F356C32D}"/>
            </a:ext>
          </a:extLst>
        </xdr:cNvPr>
        <xdr:cNvCxnSpPr/>
      </xdr:nvCxnSpPr>
      <xdr:spPr>
        <a:xfrm>
          <a:off x="1704949" y="3951710"/>
          <a:ext cx="118522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32843</xdr:colOff>
      <xdr:row>18</xdr:row>
      <xdr:rowOff>78048</xdr:rowOff>
    </xdr:from>
    <xdr:to>
      <xdr:col>7</xdr:col>
      <xdr:colOff>4793</xdr:colOff>
      <xdr:row>18</xdr:row>
      <xdr:rowOff>79985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3319F0EE-21EB-1362-048C-CEED7B05B650}"/>
            </a:ext>
          </a:extLst>
        </xdr:cNvPr>
        <xdr:cNvCxnSpPr/>
      </xdr:nvCxnSpPr>
      <xdr:spPr>
        <a:xfrm>
          <a:off x="1173062" y="3954793"/>
          <a:ext cx="199994" cy="1937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100884</xdr:colOff>
      <xdr:row>18</xdr:row>
      <xdr:rowOff>74113</xdr:rowOff>
    </xdr:from>
    <xdr:to>
      <xdr:col>6</xdr:col>
      <xdr:colOff>100884</xdr:colOff>
      <xdr:row>19</xdr:row>
      <xdr:rowOff>207018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248B240A-6B02-97F6-1CF7-9AB63D7826DA}"/>
            </a:ext>
          </a:extLst>
        </xdr:cNvPr>
        <xdr:cNvCxnSpPr/>
      </xdr:nvCxnSpPr>
      <xdr:spPr>
        <a:xfrm>
          <a:off x="1241103" y="3950858"/>
          <a:ext cx="0" cy="36094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19</xdr:row>
      <xdr:rowOff>202601</xdr:rowOff>
    </xdr:from>
    <xdr:to>
      <xdr:col>6</xdr:col>
      <xdr:colOff>214737</xdr:colOff>
      <xdr:row>19</xdr:row>
      <xdr:rowOff>206527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DD0BA2F2-575D-B804-EB79-3E22A1CA8864}"/>
            </a:ext>
          </a:extLst>
        </xdr:cNvPr>
        <xdr:cNvCxnSpPr/>
      </xdr:nvCxnSpPr>
      <xdr:spPr>
        <a:xfrm>
          <a:off x="1187350" y="4307389"/>
          <a:ext cx="167606" cy="392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2029</xdr:colOff>
      <xdr:row>17</xdr:row>
      <xdr:rowOff>18560</xdr:rowOff>
    </xdr:from>
    <xdr:to>
      <xdr:col>12</xdr:col>
      <xdr:colOff>2029</xdr:colOff>
      <xdr:row>17</xdr:row>
      <xdr:rowOff>179853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8CAF1745-0AA3-BB8B-AFB6-41B67DE11D1F}"/>
            </a:ext>
          </a:extLst>
        </xdr:cNvPr>
        <xdr:cNvCxnSpPr/>
      </xdr:nvCxnSpPr>
      <xdr:spPr>
        <a:xfrm>
          <a:off x="2510511" y="3667261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217414</xdr:colOff>
      <xdr:row>21</xdr:row>
      <xdr:rowOff>227949</xdr:rowOff>
    </xdr:from>
    <xdr:ext cx="357790" cy="285527"/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394FFFFE-779B-CE4D-B02C-244B9BBF8E65}"/>
            </a:ext>
          </a:extLst>
        </xdr:cNvPr>
        <xdr:cNvSpPr txBox="1"/>
      </xdr:nvSpPr>
      <xdr:spPr>
        <a:xfrm>
          <a:off x="1357633" y="4788825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twoCellAnchor editAs="oneCell">
    <xdr:from>
      <xdr:col>7</xdr:col>
      <xdr:colOff>78576</xdr:colOff>
      <xdr:row>22</xdr:row>
      <xdr:rowOff>26537</xdr:rowOff>
    </xdr:from>
    <xdr:to>
      <xdr:col>7</xdr:col>
      <xdr:colOff>116240</xdr:colOff>
      <xdr:row>22</xdr:row>
      <xdr:rowOff>69523</xdr:rowOff>
    </xdr:to>
    <xdr:sp macro="" textlink="">
      <xdr:nvSpPr>
        <xdr:cNvPr id="141" name="楕円 140">
          <a:extLst>
            <a:ext uri="{FF2B5EF4-FFF2-40B4-BE49-F238E27FC236}">
              <a16:creationId xmlns:a16="http://schemas.microsoft.com/office/drawing/2014/main" id="{288EF521-322C-68C3-465D-285B87357E0B}"/>
            </a:ext>
          </a:extLst>
        </xdr:cNvPr>
        <xdr:cNvSpPr/>
      </xdr:nvSpPr>
      <xdr:spPr>
        <a:xfrm>
          <a:off x="1446839" y="481545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80580</xdr:colOff>
      <xdr:row>18</xdr:row>
      <xdr:rowOff>34881</xdr:rowOff>
    </xdr:from>
    <xdr:ext cx="224998" cy="444352"/>
    <xdr:sp macro="" textlink="$AF$6">
      <xdr:nvSpPr>
        <xdr:cNvPr id="143" name="テキスト ボックス 142">
          <a:extLst>
            <a:ext uri="{FF2B5EF4-FFF2-40B4-BE49-F238E27FC236}">
              <a16:creationId xmlns:a16="http://schemas.microsoft.com/office/drawing/2014/main" id="{BBA5EB6F-92C4-EB80-DC4C-CAA1861D3C5F}"/>
            </a:ext>
          </a:extLst>
        </xdr:cNvPr>
        <xdr:cNvSpPr txBox="1"/>
      </xdr:nvSpPr>
      <xdr:spPr>
        <a:xfrm rot="16200000">
          <a:off x="883078" y="402130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416343-1F6B-4DA5-B606-7ADEF54C2E7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16502</xdr:colOff>
      <xdr:row>19</xdr:row>
      <xdr:rowOff>194028</xdr:rowOff>
    </xdr:from>
    <xdr:to>
      <xdr:col>13</xdr:col>
      <xdr:colOff>64130</xdr:colOff>
      <xdr:row>19</xdr:row>
      <xdr:rowOff>194028</xdr:rowOff>
    </xdr:to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18AE97D0-9551-F937-BC33-D0D11B640F2F}"/>
            </a:ext>
          </a:extLst>
        </xdr:cNvPr>
        <xdr:cNvCxnSpPr/>
      </xdr:nvCxnSpPr>
      <xdr:spPr>
        <a:xfrm>
          <a:off x="1612809" y="4298816"/>
          <a:ext cx="1187847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43143</xdr:colOff>
      <xdr:row>19</xdr:row>
      <xdr:rowOff>193262</xdr:rowOff>
    </xdr:from>
    <xdr:to>
      <xdr:col>11</xdr:col>
      <xdr:colOff>193090</xdr:colOff>
      <xdr:row>22</xdr:row>
      <xdr:rowOff>45492</xdr:rowOff>
    </xdr:to>
    <xdr:cxnSp macro="">
      <xdr:nvCxnSpPr>
        <xdr:cNvPr id="145" name="直線コネクタ 144">
          <a:extLst>
            <a:ext uri="{FF2B5EF4-FFF2-40B4-BE49-F238E27FC236}">
              <a16:creationId xmlns:a16="http://schemas.microsoft.com/office/drawing/2014/main" id="{091E45F9-C055-D7DA-6F20-41884EBD4B8C}"/>
            </a:ext>
          </a:extLst>
        </xdr:cNvPr>
        <xdr:cNvCxnSpPr/>
      </xdr:nvCxnSpPr>
      <xdr:spPr>
        <a:xfrm flipH="1">
          <a:off x="2323581" y="4298050"/>
          <a:ext cx="149947" cy="536362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100885</xdr:colOff>
      <xdr:row>19</xdr:row>
      <xdr:rowOff>191343</xdr:rowOff>
    </xdr:from>
    <xdr:to>
      <xdr:col>6</xdr:col>
      <xdr:colOff>100885</xdr:colOff>
      <xdr:row>22</xdr:row>
      <xdr:rowOff>45544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0B71AF23-4E7B-BC4D-DB53-ED4C8AB76526}"/>
            </a:ext>
          </a:extLst>
        </xdr:cNvPr>
        <xdr:cNvCxnSpPr/>
      </xdr:nvCxnSpPr>
      <xdr:spPr>
        <a:xfrm>
          <a:off x="1241104" y="4296131"/>
          <a:ext cx="0" cy="53833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22</xdr:row>
      <xdr:rowOff>44947</xdr:rowOff>
    </xdr:from>
    <xdr:to>
      <xdr:col>6</xdr:col>
      <xdr:colOff>214737</xdr:colOff>
      <xdr:row>22</xdr:row>
      <xdr:rowOff>44947</xdr:rowOff>
    </xdr:to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66644C15-B86B-9B44-84CF-62BBFD1D29BF}"/>
            </a:ext>
          </a:extLst>
        </xdr:cNvPr>
        <xdr:cNvCxnSpPr/>
      </xdr:nvCxnSpPr>
      <xdr:spPr>
        <a:xfrm>
          <a:off x="1187350" y="4833867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80580</xdr:colOff>
      <xdr:row>20</xdr:row>
      <xdr:rowOff>240</xdr:rowOff>
    </xdr:from>
    <xdr:ext cx="224998" cy="444352"/>
    <xdr:sp macro="" textlink="$AF$7">
      <xdr:nvSpPr>
        <xdr:cNvPr id="150" name="テキスト ボックス 149">
          <a:extLst>
            <a:ext uri="{FF2B5EF4-FFF2-40B4-BE49-F238E27FC236}">
              <a16:creationId xmlns:a16="http://schemas.microsoft.com/office/drawing/2014/main" id="{808D4C57-A078-B41E-42A2-D5910279B86B}"/>
            </a:ext>
          </a:extLst>
        </xdr:cNvPr>
        <xdr:cNvSpPr txBox="1"/>
      </xdr:nvSpPr>
      <xdr:spPr>
        <a:xfrm rot="16200000">
          <a:off x="883078" y="44427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twoCellAnchor editAs="oneCell">
    <xdr:from>
      <xdr:col>8</xdr:col>
      <xdr:colOff>5850</xdr:colOff>
      <xdr:row>17</xdr:row>
      <xdr:rowOff>18560</xdr:rowOff>
    </xdr:from>
    <xdr:to>
      <xdr:col>8</xdr:col>
      <xdr:colOff>5850</xdr:colOff>
      <xdr:row>17</xdr:row>
      <xdr:rowOff>179853</xdr:rowOff>
    </xdr:to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AB728F7E-6ABE-C98C-361A-203B89D48C4F}"/>
            </a:ext>
          </a:extLst>
        </xdr:cNvPr>
        <xdr:cNvCxnSpPr/>
      </xdr:nvCxnSpPr>
      <xdr:spPr>
        <a:xfrm>
          <a:off x="1602157" y="3667261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224899</xdr:colOff>
      <xdr:row>17</xdr:row>
      <xdr:rowOff>51473</xdr:rowOff>
    </xdr:from>
    <xdr:to>
      <xdr:col>11</xdr:col>
      <xdr:colOff>218737</xdr:colOff>
      <xdr:row>17</xdr:row>
      <xdr:rowOff>51473</xdr:rowOff>
    </xdr:to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2A7070B8-9DE9-4C25-DC80-848EF8511374}"/>
            </a:ext>
          </a:extLst>
        </xdr:cNvPr>
        <xdr:cNvCxnSpPr/>
      </xdr:nvCxnSpPr>
      <xdr:spPr>
        <a:xfrm>
          <a:off x="1593162" y="3700174"/>
          <a:ext cx="9060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155102</xdr:colOff>
      <xdr:row>16</xdr:row>
      <xdr:rowOff>72372</xdr:rowOff>
    </xdr:from>
    <xdr:ext cx="444352" cy="224998"/>
    <xdr:sp macro="" textlink="$AF$22">
      <xdr:nvSpPr>
        <xdr:cNvPr id="153" name="テキスト ボックス 152">
          <a:extLst>
            <a:ext uri="{FF2B5EF4-FFF2-40B4-BE49-F238E27FC236}">
              <a16:creationId xmlns:a16="http://schemas.microsoft.com/office/drawing/2014/main" id="{F08CFE5D-52E3-6149-566C-852F4FB1B97B}"/>
            </a:ext>
          </a:extLst>
        </xdr:cNvPr>
        <xdr:cNvSpPr txBox="1"/>
      </xdr:nvSpPr>
      <xdr:spPr>
        <a:xfrm>
          <a:off x="1979452" y="34930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8</xdr:col>
      <xdr:colOff>161858</xdr:colOff>
      <xdr:row>16</xdr:row>
      <xdr:rowOff>64524</xdr:rowOff>
    </xdr:from>
    <xdr:ext cx="370935" cy="224998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77332DF9-5A65-91A1-6843-49B51DD3D2E4}"/>
            </a:ext>
          </a:extLst>
        </xdr:cNvPr>
        <xdr:cNvSpPr txBox="1"/>
      </xdr:nvSpPr>
      <xdr:spPr>
        <a:xfrm>
          <a:off x="1758165" y="3485181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7</xdr:col>
      <xdr:colOff>94706</xdr:colOff>
      <xdr:row>17</xdr:row>
      <xdr:rowOff>26928</xdr:rowOff>
    </xdr:from>
    <xdr:to>
      <xdr:col>7</xdr:col>
      <xdr:colOff>94706</xdr:colOff>
      <xdr:row>17</xdr:row>
      <xdr:rowOff>185111</xdr:rowOff>
    </xdr:to>
    <xdr:cxnSp macro="">
      <xdr:nvCxnSpPr>
        <xdr:cNvPr id="155" name="直線コネクタ 154">
          <a:extLst>
            <a:ext uri="{FF2B5EF4-FFF2-40B4-BE49-F238E27FC236}">
              <a16:creationId xmlns:a16="http://schemas.microsoft.com/office/drawing/2014/main" id="{A688DED5-7F73-E9A6-1613-EB7A829343D8}"/>
            </a:ext>
          </a:extLst>
        </xdr:cNvPr>
        <xdr:cNvCxnSpPr/>
      </xdr:nvCxnSpPr>
      <xdr:spPr>
        <a:xfrm>
          <a:off x="1462969" y="3675629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93521</xdr:colOff>
      <xdr:row>17</xdr:row>
      <xdr:rowOff>51478</xdr:rowOff>
    </xdr:from>
    <xdr:to>
      <xdr:col>7</xdr:col>
      <xdr:colOff>219649</xdr:colOff>
      <xdr:row>17</xdr:row>
      <xdr:rowOff>51478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2B443381-ACB4-E015-3F8A-27B96D4DC1FC}"/>
            </a:ext>
          </a:extLst>
        </xdr:cNvPr>
        <xdr:cNvCxnSpPr/>
      </xdr:nvCxnSpPr>
      <xdr:spPr>
        <a:xfrm>
          <a:off x="1461784" y="3700179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811</xdr:colOff>
      <xdr:row>16</xdr:row>
      <xdr:rowOff>85778</xdr:rowOff>
    </xdr:from>
    <xdr:ext cx="370935" cy="224998"/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A7F8F9D3-D00D-A22D-E8F8-9F585AB782BF}"/>
            </a:ext>
          </a:extLst>
        </xdr:cNvPr>
        <xdr:cNvSpPr txBox="1"/>
      </xdr:nvSpPr>
      <xdr:spPr>
        <a:xfrm>
          <a:off x="912986" y="3506435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</xdr:col>
      <xdr:colOff>8972</xdr:colOff>
      <xdr:row>16</xdr:row>
      <xdr:rowOff>77627</xdr:rowOff>
    </xdr:from>
    <xdr:ext cx="444352" cy="224998"/>
    <xdr:sp macro="" textlink="$AF$10">
      <xdr:nvSpPr>
        <xdr:cNvPr id="159" name="テキスト ボックス 158">
          <a:extLst>
            <a:ext uri="{FF2B5EF4-FFF2-40B4-BE49-F238E27FC236}">
              <a16:creationId xmlns:a16="http://schemas.microsoft.com/office/drawing/2014/main" id="{DE11EEAE-4E4E-EE70-9189-8C54661C8D0C}"/>
            </a:ext>
          </a:extLst>
        </xdr:cNvPr>
        <xdr:cNvSpPr txBox="1"/>
      </xdr:nvSpPr>
      <xdr:spPr>
        <a:xfrm>
          <a:off x="1149191" y="349828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20</xdr:row>
      <xdr:rowOff>111637</xdr:rowOff>
    </xdr:from>
    <xdr:ext cx="224998" cy="403637"/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0BA44BB1-F537-DB0F-5DF2-9AE84F7D8365}"/>
            </a:ext>
          </a:extLst>
        </xdr:cNvPr>
        <xdr:cNvSpPr txBox="1"/>
      </xdr:nvSpPr>
      <xdr:spPr>
        <a:xfrm rot="16200000">
          <a:off x="760039" y="4533789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12</xdr:col>
      <xdr:colOff>130230</xdr:colOff>
      <xdr:row>18</xdr:row>
      <xdr:rowOff>99672</xdr:rowOff>
    </xdr:from>
    <xdr:to>
      <xdr:col>13</xdr:col>
      <xdr:colOff>141370</xdr:colOff>
      <xdr:row>22</xdr:row>
      <xdr:rowOff>45493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A5512580-7C1E-119C-195B-20230A30FA28}"/>
            </a:ext>
          </a:extLst>
        </xdr:cNvPr>
        <xdr:cNvCxnSpPr/>
      </xdr:nvCxnSpPr>
      <xdr:spPr>
        <a:xfrm flipH="1">
          <a:off x="2638712" y="3976417"/>
          <a:ext cx="239184" cy="857996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108642</xdr:colOff>
      <xdr:row>28</xdr:row>
      <xdr:rowOff>119189</xdr:rowOff>
    </xdr:from>
    <xdr:ext cx="1188001" cy="0"/>
    <xdr:cxnSp macro="">
      <xdr:nvCxnSpPr>
        <xdr:cNvPr id="263" name="直線コネクタ 262">
          <a:extLst>
            <a:ext uri="{FF2B5EF4-FFF2-40B4-BE49-F238E27FC236}">
              <a16:creationId xmlns:a16="http://schemas.microsoft.com/office/drawing/2014/main" id="{E2E510F1-66BA-44E7-A612-C3AA19A3FA35}"/>
            </a:ext>
          </a:extLst>
        </xdr:cNvPr>
        <xdr:cNvCxnSpPr/>
      </xdr:nvCxnSpPr>
      <xdr:spPr>
        <a:xfrm>
          <a:off x="9648296" y="573458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47131</xdr:colOff>
      <xdr:row>30</xdr:row>
      <xdr:rowOff>19691</xdr:rowOff>
    </xdr:from>
    <xdr:ext cx="167606" cy="0"/>
    <xdr:cxnSp macro="">
      <xdr:nvCxnSpPr>
        <xdr:cNvPr id="266" name="直線コネクタ 265">
          <a:extLst>
            <a:ext uri="{FF2B5EF4-FFF2-40B4-BE49-F238E27FC236}">
              <a16:creationId xmlns:a16="http://schemas.microsoft.com/office/drawing/2014/main" id="{9914337A-8FAF-446F-A7C1-B7FD4ABB8E38}"/>
            </a:ext>
          </a:extLst>
        </xdr:cNvPr>
        <xdr:cNvCxnSpPr/>
      </xdr:nvCxnSpPr>
      <xdr:spPr>
        <a:xfrm>
          <a:off x="9132516" y="928229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11</xdr:col>
      <xdr:colOff>57446</xdr:colOff>
      <xdr:row>33</xdr:row>
      <xdr:rowOff>77570</xdr:rowOff>
    </xdr:from>
    <xdr:ext cx="0" cy="161293"/>
    <xdr:cxnSp macro="">
      <xdr:nvCxnSpPr>
        <xdr:cNvPr id="267" name="直線コネクタ 266">
          <a:extLst>
            <a:ext uri="{FF2B5EF4-FFF2-40B4-BE49-F238E27FC236}">
              <a16:creationId xmlns:a16="http://schemas.microsoft.com/office/drawing/2014/main" id="{13140111-D7EF-4C4D-BD15-684EFCE03356}"/>
            </a:ext>
          </a:extLst>
        </xdr:cNvPr>
        <xdr:cNvCxnSpPr/>
      </xdr:nvCxnSpPr>
      <xdr:spPr>
        <a:xfrm>
          <a:off x="10344446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217414</xdr:colOff>
      <xdr:row>32</xdr:row>
      <xdr:rowOff>44129</xdr:rowOff>
    </xdr:from>
    <xdr:ext cx="357790" cy="285527"/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535A198E-A84B-4BD5-A1D6-6459877075A2}"/>
            </a:ext>
          </a:extLst>
        </xdr:cNvPr>
        <xdr:cNvSpPr txBox="1"/>
      </xdr:nvSpPr>
      <xdr:spPr>
        <a:xfrm>
          <a:off x="9302799" y="1406937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8</xdr:col>
      <xdr:colOff>16502</xdr:colOff>
      <xdr:row>30</xdr:row>
      <xdr:rowOff>11118</xdr:rowOff>
    </xdr:from>
    <xdr:ext cx="1190628" cy="0"/>
    <xdr:cxnSp macro="">
      <xdr:nvCxnSpPr>
        <xdr:cNvPr id="271" name="直線コネクタ 270">
          <a:extLst>
            <a:ext uri="{FF2B5EF4-FFF2-40B4-BE49-F238E27FC236}">
              <a16:creationId xmlns:a16="http://schemas.microsoft.com/office/drawing/2014/main" id="{C5BA1AD3-CF27-47E8-9020-0A0EC10F4502}"/>
            </a:ext>
          </a:extLst>
        </xdr:cNvPr>
        <xdr:cNvCxnSpPr/>
      </xdr:nvCxnSpPr>
      <xdr:spPr>
        <a:xfrm>
          <a:off x="9556156" y="919656"/>
          <a:ext cx="1190628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11</xdr:col>
      <xdr:colOff>43143</xdr:colOff>
      <xdr:row>30</xdr:row>
      <xdr:rowOff>10352</xdr:rowOff>
    </xdr:from>
    <xdr:ext cx="149947" cy="538030"/>
    <xdr:cxnSp macro="">
      <xdr:nvCxnSpPr>
        <xdr:cNvPr id="272" name="直線コネクタ 271">
          <a:extLst>
            <a:ext uri="{FF2B5EF4-FFF2-40B4-BE49-F238E27FC236}">
              <a16:creationId xmlns:a16="http://schemas.microsoft.com/office/drawing/2014/main" id="{5AD94761-06C4-4BA8-998A-3CC76FD59CBA}"/>
            </a:ext>
          </a:extLst>
        </xdr:cNvPr>
        <xdr:cNvCxnSpPr/>
      </xdr:nvCxnSpPr>
      <xdr:spPr>
        <a:xfrm flipH="1">
          <a:off x="10264201" y="918890"/>
          <a:ext cx="149947" cy="53803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100885</xdr:colOff>
      <xdr:row>30</xdr:row>
      <xdr:rowOff>8433</xdr:rowOff>
    </xdr:from>
    <xdr:ext cx="0" cy="540001"/>
    <xdr:cxnSp macro="">
      <xdr:nvCxnSpPr>
        <xdr:cNvPr id="273" name="直線コネクタ 272">
          <a:extLst>
            <a:ext uri="{FF2B5EF4-FFF2-40B4-BE49-F238E27FC236}">
              <a16:creationId xmlns:a16="http://schemas.microsoft.com/office/drawing/2014/main" id="{1058A93C-B976-4DFE-A605-A63A95CF9341}"/>
            </a:ext>
          </a:extLst>
        </xdr:cNvPr>
        <xdr:cNvCxnSpPr/>
      </xdr:nvCxnSpPr>
      <xdr:spPr>
        <a:xfrm>
          <a:off x="9186270" y="916971"/>
          <a:ext cx="0" cy="54000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92787</xdr:colOff>
      <xdr:row>28</xdr:row>
      <xdr:rowOff>138034</xdr:rowOff>
    </xdr:from>
    <xdr:ext cx="251385" cy="866082"/>
    <xdr:cxnSp macro="">
      <xdr:nvCxnSpPr>
        <xdr:cNvPr id="274" name="直線コネクタ 273">
          <a:extLst>
            <a:ext uri="{FF2B5EF4-FFF2-40B4-BE49-F238E27FC236}">
              <a16:creationId xmlns:a16="http://schemas.microsoft.com/office/drawing/2014/main" id="{27367C12-9611-416C-8BD2-27CB74D67D56}"/>
            </a:ext>
          </a:extLst>
        </xdr:cNvPr>
        <xdr:cNvCxnSpPr/>
      </xdr:nvCxnSpPr>
      <xdr:spPr>
        <a:xfrm flipH="1">
          <a:off x="9405306" y="592303"/>
          <a:ext cx="251385" cy="866082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90057</xdr:colOff>
      <xdr:row>32</xdr:row>
      <xdr:rowOff>87758</xdr:rowOff>
    </xdr:from>
    <xdr:ext cx="1176035" cy="0"/>
    <xdr:cxnSp macro="">
      <xdr:nvCxnSpPr>
        <xdr:cNvPr id="275" name="直線コネクタ 274">
          <a:extLst>
            <a:ext uri="{FF2B5EF4-FFF2-40B4-BE49-F238E27FC236}">
              <a16:creationId xmlns:a16="http://schemas.microsoft.com/office/drawing/2014/main" id="{C2E2C462-CBD7-44FD-91B8-8726B8385236}"/>
            </a:ext>
          </a:extLst>
        </xdr:cNvPr>
        <xdr:cNvCxnSpPr/>
      </xdr:nvCxnSpPr>
      <xdr:spPr>
        <a:xfrm>
          <a:off x="9402576" y="1450566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47131</xdr:colOff>
      <xdr:row>32</xdr:row>
      <xdr:rowOff>89171</xdr:rowOff>
    </xdr:from>
    <xdr:ext cx="167606" cy="0"/>
    <xdr:cxnSp macro="">
      <xdr:nvCxnSpPr>
        <xdr:cNvPr id="276" name="直線コネクタ 275">
          <a:extLst>
            <a:ext uri="{FF2B5EF4-FFF2-40B4-BE49-F238E27FC236}">
              <a16:creationId xmlns:a16="http://schemas.microsoft.com/office/drawing/2014/main" id="{62111BCD-A17E-47F0-94D8-2ECACCA46185}"/>
            </a:ext>
          </a:extLst>
        </xdr:cNvPr>
        <xdr:cNvCxnSpPr/>
      </xdr:nvCxnSpPr>
      <xdr:spPr>
        <a:xfrm>
          <a:off x="9132516" y="1451979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</xdr:col>
      <xdr:colOff>80580</xdr:colOff>
      <xdr:row>30</xdr:row>
      <xdr:rowOff>44465</xdr:rowOff>
    </xdr:from>
    <xdr:ext cx="224998" cy="444352"/>
    <xdr:sp macro="" textlink="$AF$7">
      <xdr:nvSpPr>
        <xdr:cNvPr id="277" name="テキスト ボックス 276">
          <a:extLst>
            <a:ext uri="{FF2B5EF4-FFF2-40B4-BE49-F238E27FC236}">
              <a16:creationId xmlns:a16="http://schemas.microsoft.com/office/drawing/2014/main" id="{1CE5493E-6D45-46A5-9FEB-CE9469E774E0}"/>
            </a:ext>
          </a:extLst>
        </xdr:cNvPr>
        <xdr:cNvSpPr txBox="1"/>
      </xdr:nvSpPr>
      <xdr:spPr>
        <a:xfrm rot="16200000">
          <a:off x="8829153" y="10626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7</xdr:col>
      <xdr:colOff>79120</xdr:colOff>
      <xdr:row>33</xdr:row>
      <xdr:rowOff>77570</xdr:rowOff>
    </xdr:from>
    <xdr:ext cx="0" cy="161293"/>
    <xdr:cxnSp macro="">
      <xdr:nvCxnSpPr>
        <xdr:cNvPr id="278" name="直線コネクタ 277">
          <a:extLst>
            <a:ext uri="{FF2B5EF4-FFF2-40B4-BE49-F238E27FC236}">
              <a16:creationId xmlns:a16="http://schemas.microsoft.com/office/drawing/2014/main" id="{0682CB74-50AF-433A-9D31-672A30C05DA4}"/>
            </a:ext>
          </a:extLst>
        </xdr:cNvPr>
        <xdr:cNvCxnSpPr/>
      </xdr:nvCxnSpPr>
      <xdr:spPr>
        <a:xfrm>
          <a:off x="9451720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71034</xdr:colOff>
      <xdr:row>33</xdr:row>
      <xdr:rowOff>186692</xdr:rowOff>
    </xdr:from>
    <xdr:ext cx="908238" cy="0"/>
    <xdr:cxnSp macro="">
      <xdr:nvCxnSpPr>
        <xdr:cNvPr id="279" name="直線コネクタ 278">
          <a:extLst>
            <a:ext uri="{FF2B5EF4-FFF2-40B4-BE49-F238E27FC236}">
              <a16:creationId xmlns:a16="http://schemas.microsoft.com/office/drawing/2014/main" id="{BC008253-E851-4C63-841A-5F275DB7A939}"/>
            </a:ext>
          </a:extLst>
        </xdr:cNvPr>
        <xdr:cNvCxnSpPr/>
      </xdr:nvCxnSpPr>
      <xdr:spPr>
        <a:xfrm>
          <a:off x="9443634" y="1786892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8</xdr:col>
      <xdr:colOff>177082</xdr:colOff>
      <xdr:row>33</xdr:row>
      <xdr:rowOff>178282</xdr:rowOff>
    </xdr:from>
    <xdr:ext cx="444352" cy="224998"/>
    <xdr:sp macro="" textlink="$AF$22">
      <xdr:nvSpPr>
        <xdr:cNvPr id="280" name="テキスト ボックス 279">
          <a:extLst>
            <a:ext uri="{FF2B5EF4-FFF2-40B4-BE49-F238E27FC236}">
              <a16:creationId xmlns:a16="http://schemas.microsoft.com/office/drawing/2014/main" id="{EA4D527D-E116-4B07-9ED1-1A5031707D1F}"/>
            </a:ext>
          </a:extLst>
        </xdr:cNvPr>
        <xdr:cNvSpPr txBox="1"/>
      </xdr:nvSpPr>
      <xdr:spPr>
        <a:xfrm>
          <a:off x="9778282" y="177848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7</xdr:col>
      <xdr:colOff>154531</xdr:colOff>
      <xdr:row>33</xdr:row>
      <xdr:rowOff>177762</xdr:rowOff>
    </xdr:from>
    <xdr:ext cx="370935" cy="224998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AC618707-8778-4FC7-89BF-D4A0BF476E81}"/>
            </a:ext>
          </a:extLst>
        </xdr:cNvPr>
        <xdr:cNvSpPr txBox="1"/>
      </xdr:nvSpPr>
      <xdr:spPr>
        <a:xfrm>
          <a:off x="1531993" y="7753800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</xdr:col>
      <xdr:colOff>19587</xdr:colOff>
      <xdr:row>33</xdr:row>
      <xdr:rowOff>85938</xdr:rowOff>
    </xdr:from>
    <xdr:ext cx="0" cy="158183"/>
    <xdr:cxnSp macro="">
      <xdr:nvCxnSpPr>
        <xdr:cNvPr id="282" name="直線コネクタ 281">
          <a:extLst>
            <a:ext uri="{FF2B5EF4-FFF2-40B4-BE49-F238E27FC236}">
              <a16:creationId xmlns:a16="http://schemas.microsoft.com/office/drawing/2014/main" id="{9579B665-2956-4B04-800C-D496423AA14A}"/>
            </a:ext>
          </a:extLst>
        </xdr:cNvPr>
        <xdr:cNvCxnSpPr/>
      </xdr:nvCxnSpPr>
      <xdr:spPr>
        <a:xfrm>
          <a:off x="10763787" y="1686138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122675</xdr:colOff>
      <xdr:row>33</xdr:row>
      <xdr:rowOff>186697</xdr:rowOff>
    </xdr:from>
    <xdr:ext cx="126128" cy="0"/>
    <xdr:cxnSp macro="">
      <xdr:nvCxnSpPr>
        <xdr:cNvPr id="283" name="直線コネクタ 282">
          <a:extLst>
            <a:ext uri="{FF2B5EF4-FFF2-40B4-BE49-F238E27FC236}">
              <a16:creationId xmlns:a16="http://schemas.microsoft.com/office/drawing/2014/main" id="{058377A2-2040-4F54-AB6C-02264CD64A1F}"/>
            </a:ext>
          </a:extLst>
        </xdr:cNvPr>
        <xdr:cNvCxnSpPr/>
      </xdr:nvCxnSpPr>
      <xdr:spPr>
        <a:xfrm>
          <a:off x="10638275" y="1786897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200422</xdr:colOff>
      <xdr:row>33</xdr:row>
      <xdr:rowOff>62067</xdr:rowOff>
    </xdr:from>
    <xdr:ext cx="370935" cy="224998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CB574C38-2C43-4ACF-95EC-50FB297A07F0}"/>
            </a:ext>
          </a:extLst>
        </xdr:cNvPr>
        <xdr:cNvSpPr txBox="1"/>
      </xdr:nvSpPr>
      <xdr:spPr>
        <a:xfrm>
          <a:off x="10716022" y="1662267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</xdr:col>
      <xdr:colOff>181658</xdr:colOff>
      <xdr:row>33</xdr:row>
      <xdr:rowOff>67464</xdr:rowOff>
    </xdr:from>
    <xdr:ext cx="444352" cy="224998"/>
    <xdr:sp macro="" textlink="$AF$10">
      <xdr:nvSpPr>
        <xdr:cNvPr id="285" name="テキスト ボックス 284">
          <a:extLst>
            <a:ext uri="{FF2B5EF4-FFF2-40B4-BE49-F238E27FC236}">
              <a16:creationId xmlns:a16="http://schemas.microsoft.com/office/drawing/2014/main" id="{F86094CA-9B96-404C-9DFC-B2718C674980}"/>
            </a:ext>
          </a:extLst>
        </xdr:cNvPr>
        <xdr:cNvSpPr txBox="1"/>
      </xdr:nvSpPr>
      <xdr:spPr>
        <a:xfrm>
          <a:off x="10925858" y="166766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30</xdr:row>
      <xdr:rowOff>155862</xdr:rowOff>
    </xdr:from>
    <xdr:ext cx="224998" cy="403637"/>
    <xdr:sp macro="" textlink="">
      <xdr:nvSpPr>
        <xdr:cNvPr id="286" name="テキスト ボックス 285">
          <a:extLst>
            <a:ext uri="{FF2B5EF4-FFF2-40B4-BE49-F238E27FC236}">
              <a16:creationId xmlns:a16="http://schemas.microsoft.com/office/drawing/2014/main" id="{5126FB28-78D5-4F4C-B06C-0678EA4EF468}"/>
            </a:ext>
          </a:extLst>
        </xdr:cNvPr>
        <xdr:cNvSpPr txBox="1"/>
      </xdr:nvSpPr>
      <xdr:spPr>
        <a:xfrm rot="16200000">
          <a:off x="8707023" y="1153720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130230</xdr:colOff>
      <xdr:row>28</xdr:row>
      <xdr:rowOff>143896</xdr:rowOff>
    </xdr:from>
    <xdr:ext cx="239740" cy="860220"/>
    <xdr:cxnSp macro="">
      <xdr:nvCxnSpPr>
        <xdr:cNvPr id="287" name="直線コネクタ 286">
          <a:extLst>
            <a:ext uri="{FF2B5EF4-FFF2-40B4-BE49-F238E27FC236}">
              <a16:creationId xmlns:a16="http://schemas.microsoft.com/office/drawing/2014/main" id="{5C5BF07C-0C36-4B30-B61C-9E16B7B56DD3}"/>
            </a:ext>
          </a:extLst>
        </xdr:cNvPr>
        <xdr:cNvCxnSpPr/>
      </xdr:nvCxnSpPr>
      <xdr:spPr>
        <a:xfrm flipH="1">
          <a:off x="10578422" y="598165"/>
          <a:ext cx="239740" cy="86022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11</xdr:col>
      <xdr:colOff>47652</xdr:colOff>
      <xdr:row>30</xdr:row>
      <xdr:rowOff>1966</xdr:rowOff>
    </xdr:from>
    <xdr:to>
      <xdr:col>13</xdr:col>
      <xdr:colOff>50150</xdr:colOff>
      <xdr:row>32</xdr:row>
      <xdr:rowOff>86664</xdr:rowOff>
    </xdr:to>
    <xdr:sp macro="" textlink="">
      <xdr:nvSpPr>
        <xdr:cNvPr id="288" name="平行四辺形 287">
          <a:extLst>
            <a:ext uri="{FF2B5EF4-FFF2-40B4-BE49-F238E27FC236}">
              <a16:creationId xmlns:a16="http://schemas.microsoft.com/office/drawing/2014/main" id="{B2CDAE74-98BD-4AFF-90ED-6C490658225F}"/>
            </a:ext>
          </a:extLst>
        </xdr:cNvPr>
        <xdr:cNvSpPr/>
      </xdr:nvSpPr>
      <xdr:spPr>
        <a:xfrm>
          <a:off x="10334652" y="916366"/>
          <a:ext cx="459698" cy="541899"/>
        </a:xfrm>
        <a:prstGeom prst="parallelogram">
          <a:avLst>
            <a:gd name="adj" fmla="val 33308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11</xdr:col>
      <xdr:colOff>62957</xdr:colOff>
      <xdr:row>33</xdr:row>
      <xdr:rowOff>186692</xdr:rowOff>
    </xdr:from>
    <xdr:ext cx="288000" cy="0"/>
    <xdr:cxnSp macro="">
      <xdr:nvCxnSpPr>
        <xdr:cNvPr id="289" name="直線コネクタ 288">
          <a:extLst>
            <a:ext uri="{FF2B5EF4-FFF2-40B4-BE49-F238E27FC236}">
              <a16:creationId xmlns:a16="http://schemas.microsoft.com/office/drawing/2014/main" id="{6084BC03-5C68-A735-F2CF-68E3DEBB5F93}"/>
            </a:ext>
          </a:extLst>
        </xdr:cNvPr>
        <xdr:cNvCxnSpPr/>
      </xdr:nvCxnSpPr>
      <xdr:spPr>
        <a:xfrm>
          <a:off x="10349957" y="1786892"/>
          <a:ext cx="28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124896</xdr:colOff>
      <xdr:row>33</xdr:row>
      <xdr:rowOff>77570</xdr:rowOff>
    </xdr:from>
    <xdr:ext cx="0" cy="161293"/>
    <xdr:cxnSp macro="">
      <xdr:nvCxnSpPr>
        <xdr:cNvPr id="290" name="直線コネクタ 289">
          <a:extLst>
            <a:ext uri="{FF2B5EF4-FFF2-40B4-BE49-F238E27FC236}">
              <a16:creationId xmlns:a16="http://schemas.microsoft.com/office/drawing/2014/main" id="{B8B1F11A-CE70-7BEB-1190-6EE95BFBE3D7}"/>
            </a:ext>
          </a:extLst>
        </xdr:cNvPr>
        <xdr:cNvCxnSpPr/>
      </xdr:nvCxnSpPr>
      <xdr:spPr>
        <a:xfrm>
          <a:off x="10640496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</xdr:col>
      <xdr:colOff>225339</xdr:colOff>
      <xdr:row>33</xdr:row>
      <xdr:rowOff>187121</xdr:rowOff>
    </xdr:from>
    <xdr:ext cx="444352" cy="224998"/>
    <xdr:sp macro="" textlink="$AF$34">
      <xdr:nvSpPr>
        <xdr:cNvPr id="292" name="テキスト ボックス 291">
          <a:extLst>
            <a:ext uri="{FF2B5EF4-FFF2-40B4-BE49-F238E27FC236}">
              <a16:creationId xmlns:a16="http://schemas.microsoft.com/office/drawing/2014/main" id="{9A4C8C18-034E-FE40-D418-256AC9DAA842}"/>
            </a:ext>
          </a:extLst>
        </xdr:cNvPr>
        <xdr:cNvSpPr txBox="1"/>
      </xdr:nvSpPr>
      <xdr:spPr>
        <a:xfrm>
          <a:off x="10399353" y="180571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ECEC293-0863-4796-8207-0CB563E70BE0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0.265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11</xdr:col>
      <xdr:colOff>24866</xdr:colOff>
      <xdr:row>32</xdr:row>
      <xdr:rowOff>229189</xdr:rowOff>
    </xdr:from>
    <xdr:ext cx="370935" cy="224998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F8A6CDFF-698C-B1C1-6581-C8C4C7CC88F8}"/>
            </a:ext>
          </a:extLst>
        </xdr:cNvPr>
        <xdr:cNvSpPr txBox="1"/>
      </xdr:nvSpPr>
      <xdr:spPr>
        <a:xfrm>
          <a:off x="2320635" y="7575651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₄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11</xdr:col>
      <xdr:colOff>30899</xdr:colOff>
      <xdr:row>34</xdr:row>
      <xdr:rowOff>223906</xdr:rowOff>
    </xdr:from>
    <xdr:ext cx="213520" cy="224998"/>
    <xdr:sp macro="" textlink="#REF!">
      <xdr:nvSpPr>
        <xdr:cNvPr id="294" name="テキスト ボックス 293">
          <a:extLst>
            <a:ext uri="{FF2B5EF4-FFF2-40B4-BE49-F238E27FC236}">
              <a16:creationId xmlns:a16="http://schemas.microsoft.com/office/drawing/2014/main" id="{F320B91A-2B2F-C5D8-423A-D3980E0166A9}"/>
            </a:ext>
          </a:extLst>
        </xdr:cNvPr>
        <xdr:cNvSpPr txBox="1"/>
      </xdr:nvSpPr>
      <xdr:spPr>
        <a:xfrm>
          <a:off x="2316899" y="7996306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F8AEBC5-C2DD-49A5-B5E9-F3DC7954F008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43</xdr:col>
      <xdr:colOff>108642</xdr:colOff>
      <xdr:row>4</xdr:row>
      <xdr:rowOff>42783</xdr:rowOff>
    </xdr:from>
    <xdr:ext cx="1188001" cy="0"/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4E02384-FD3F-4E3B-9C05-6177AB953F11}"/>
            </a:ext>
          </a:extLst>
        </xdr:cNvPr>
        <xdr:cNvCxnSpPr/>
      </xdr:nvCxnSpPr>
      <xdr:spPr>
        <a:xfrm>
          <a:off x="9709842" y="728583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4</xdr:row>
      <xdr:rowOff>46594</xdr:rowOff>
    </xdr:from>
    <xdr:ext cx="167606" cy="0"/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DEC1198-D428-488F-9877-17FF3703152D}"/>
            </a:ext>
          </a:extLst>
        </xdr:cNvPr>
        <xdr:cNvCxnSpPr/>
      </xdr:nvCxnSpPr>
      <xdr:spPr>
        <a:xfrm>
          <a:off x="8986344" y="732394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47</xdr:col>
      <xdr:colOff>72190</xdr:colOff>
      <xdr:row>3</xdr:row>
      <xdr:rowOff>666</xdr:rowOff>
    </xdr:from>
    <xdr:ext cx="0" cy="161293"/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5B6A6C9F-7501-4E94-9FC1-A6B7395CEA39}"/>
            </a:ext>
          </a:extLst>
        </xdr:cNvPr>
        <xdr:cNvCxnSpPr/>
      </xdr:nvCxnSpPr>
      <xdr:spPr>
        <a:xfrm>
          <a:off x="10587790" y="457866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109919</xdr:colOff>
      <xdr:row>8</xdr:row>
      <xdr:rowOff>198363</xdr:rowOff>
    </xdr:from>
    <xdr:ext cx="357790" cy="285527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F594F2F-8E5E-413E-905B-7194AAACBBF4}"/>
            </a:ext>
          </a:extLst>
        </xdr:cNvPr>
        <xdr:cNvSpPr txBox="1"/>
      </xdr:nvSpPr>
      <xdr:spPr>
        <a:xfrm>
          <a:off x="9253919" y="1798563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4</xdr:row>
      <xdr:rowOff>55108</xdr:rowOff>
    </xdr:from>
    <xdr:ext cx="299968" cy="1076325"/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BF2C37D4-D2EA-4219-81D9-202CC1EDC145}"/>
            </a:ext>
          </a:extLst>
        </xdr:cNvPr>
        <xdr:cNvCxnSpPr/>
      </xdr:nvCxnSpPr>
      <xdr:spPr>
        <a:xfrm flipH="1">
          <a:off x="10273366" y="740908"/>
          <a:ext cx="299968" cy="107632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124698</xdr:colOff>
      <xdr:row>4</xdr:row>
      <xdr:rowOff>40097</xdr:rowOff>
    </xdr:from>
    <xdr:ext cx="0" cy="1080000"/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55139652-C7EA-4258-8DDB-1801EDD9A555}"/>
            </a:ext>
          </a:extLst>
        </xdr:cNvPr>
        <xdr:cNvCxnSpPr/>
      </xdr:nvCxnSpPr>
      <xdr:spPr>
        <a:xfrm>
          <a:off x="9040098" y="725897"/>
          <a:ext cx="0" cy="108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4</xdr:row>
      <xdr:rowOff>61628</xdr:rowOff>
    </xdr:from>
    <xdr:ext cx="310517" cy="1069805"/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A6766CF-C449-407F-811B-8933BF9B5DB4}"/>
            </a:ext>
          </a:extLst>
        </xdr:cNvPr>
        <xdr:cNvCxnSpPr/>
      </xdr:nvCxnSpPr>
      <xdr:spPr>
        <a:xfrm flipH="1">
          <a:off x="9406255" y="747428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8</xdr:row>
      <xdr:rowOff>216140</xdr:rowOff>
    </xdr:from>
    <xdr:ext cx="1176035" cy="0"/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48815E82-8699-454F-89B7-C5473DF33E2C}"/>
            </a:ext>
          </a:extLst>
        </xdr:cNvPr>
        <xdr:cNvCxnSpPr/>
      </xdr:nvCxnSpPr>
      <xdr:spPr>
        <a:xfrm>
          <a:off x="9405507" y="1816340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8</xdr:row>
      <xdr:rowOff>212790</xdr:rowOff>
    </xdr:from>
    <xdr:ext cx="167606" cy="0"/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6F1D88E2-B0FC-463A-B0AD-2994F4081E4F}"/>
            </a:ext>
          </a:extLst>
        </xdr:cNvPr>
        <xdr:cNvCxnSpPr/>
      </xdr:nvCxnSpPr>
      <xdr:spPr>
        <a:xfrm>
          <a:off x="8986344" y="1812990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104393</xdr:colOff>
      <xdr:row>4</xdr:row>
      <xdr:rowOff>153795</xdr:rowOff>
    </xdr:from>
    <xdr:ext cx="224998" cy="444352"/>
    <xdr:sp macro="" textlink="$BO$5">
      <xdr:nvSpPr>
        <xdr:cNvPr id="32" name="テキスト ボックス 31">
          <a:extLst>
            <a:ext uri="{FF2B5EF4-FFF2-40B4-BE49-F238E27FC236}">
              <a16:creationId xmlns:a16="http://schemas.microsoft.com/office/drawing/2014/main" id="{15D3D65E-8A5E-4967-AC58-B03EF2958D06}"/>
            </a:ext>
          </a:extLst>
        </xdr:cNvPr>
        <xdr:cNvSpPr txBox="1"/>
      </xdr:nvSpPr>
      <xdr:spPr>
        <a:xfrm rot="16200000">
          <a:off x="8511187" y="9358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7CE3AA0-E97F-4B1D-ACB3-363C5E6AEF6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1.000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43</xdr:col>
      <xdr:colOff>102030</xdr:colOff>
      <xdr:row>3</xdr:row>
      <xdr:rowOff>666</xdr:rowOff>
    </xdr:from>
    <xdr:ext cx="0" cy="161293"/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5A630A83-12C6-4CA5-8E8F-32ED22075784}"/>
            </a:ext>
          </a:extLst>
        </xdr:cNvPr>
        <xdr:cNvCxnSpPr/>
      </xdr:nvCxnSpPr>
      <xdr:spPr>
        <a:xfrm>
          <a:off x="9703230" y="457866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43</xdr:col>
      <xdr:colOff>92479</xdr:colOff>
      <xdr:row>3</xdr:row>
      <xdr:rowOff>33579</xdr:rowOff>
    </xdr:from>
    <xdr:ext cx="908238" cy="0"/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9A760BA-62F7-4A44-87D3-56C5E341947A}"/>
            </a:ext>
          </a:extLst>
        </xdr:cNvPr>
        <xdr:cNvCxnSpPr/>
      </xdr:nvCxnSpPr>
      <xdr:spPr>
        <a:xfrm>
          <a:off x="9693679" y="490779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33833</xdr:colOff>
      <xdr:row>2</xdr:row>
      <xdr:rowOff>54478</xdr:rowOff>
    </xdr:from>
    <xdr:ext cx="444352" cy="224998"/>
    <xdr:sp macro="" textlink="$AF$22">
      <xdr:nvSpPr>
        <xdr:cNvPr id="35" name="テキスト ボックス 34">
          <a:extLst>
            <a:ext uri="{FF2B5EF4-FFF2-40B4-BE49-F238E27FC236}">
              <a16:creationId xmlns:a16="http://schemas.microsoft.com/office/drawing/2014/main" id="{B6569097-C281-44F2-8C60-B42B73A8E5C2}"/>
            </a:ext>
          </a:extLst>
        </xdr:cNvPr>
        <xdr:cNvSpPr txBox="1"/>
      </xdr:nvSpPr>
      <xdr:spPr>
        <a:xfrm>
          <a:off x="10092233" y="2830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44</xdr:col>
      <xdr:colOff>40589</xdr:colOff>
      <xdr:row>2</xdr:row>
      <xdr:rowOff>46630</xdr:rowOff>
    </xdr:from>
    <xdr:ext cx="370935" cy="224998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1F094BBB-A6CB-4A96-A4A6-6A8680B89B71}"/>
            </a:ext>
          </a:extLst>
        </xdr:cNvPr>
        <xdr:cNvSpPr txBox="1"/>
      </xdr:nvSpPr>
      <xdr:spPr>
        <a:xfrm>
          <a:off x="9870389" y="275230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42</xdr:col>
      <xdr:colOff>16183</xdr:colOff>
      <xdr:row>3</xdr:row>
      <xdr:rowOff>5317</xdr:rowOff>
    </xdr:from>
    <xdr:ext cx="0" cy="158183"/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3DE07CD8-18AF-485F-9ABA-50990E67542F}"/>
            </a:ext>
          </a:extLst>
        </xdr:cNvPr>
        <xdr:cNvCxnSpPr/>
      </xdr:nvCxnSpPr>
      <xdr:spPr>
        <a:xfrm>
          <a:off x="9388783" y="462517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11282</xdr:colOff>
      <xdr:row>3</xdr:row>
      <xdr:rowOff>33584</xdr:rowOff>
    </xdr:from>
    <xdr:ext cx="324000" cy="0"/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C115AC46-DB13-4414-9EA0-15F2E1FC56EE}"/>
            </a:ext>
          </a:extLst>
        </xdr:cNvPr>
        <xdr:cNvCxnSpPr/>
      </xdr:nvCxnSpPr>
      <xdr:spPr>
        <a:xfrm>
          <a:off x="9383882" y="490784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193079</xdr:colOff>
      <xdr:row>2</xdr:row>
      <xdr:rowOff>49299</xdr:rowOff>
    </xdr:from>
    <xdr:ext cx="370935" cy="224998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2C707AB5-7BA5-4C36-867B-961952037F30}"/>
            </a:ext>
          </a:extLst>
        </xdr:cNvPr>
        <xdr:cNvSpPr txBox="1"/>
      </xdr:nvSpPr>
      <xdr:spPr>
        <a:xfrm>
          <a:off x="9108479" y="277899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₅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41</xdr:col>
      <xdr:colOff>186928</xdr:colOff>
      <xdr:row>2</xdr:row>
      <xdr:rowOff>59733</xdr:rowOff>
    </xdr:from>
    <xdr:ext cx="444352" cy="224998"/>
    <xdr:sp macro="" textlink="$BO$9">
      <xdr:nvSpPr>
        <xdr:cNvPr id="40" name="テキスト ボックス 39">
          <a:extLst>
            <a:ext uri="{FF2B5EF4-FFF2-40B4-BE49-F238E27FC236}">
              <a16:creationId xmlns:a16="http://schemas.microsoft.com/office/drawing/2014/main" id="{702B75A4-CC1D-4ABD-82B5-68FC27864B17}"/>
            </a:ext>
          </a:extLst>
        </xdr:cNvPr>
        <xdr:cNvSpPr txBox="1"/>
      </xdr:nvSpPr>
      <xdr:spPr>
        <a:xfrm>
          <a:off x="9151634" y="28385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95A3C67-60C8-47C4-8900-28D814B8E098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103317</xdr:colOff>
      <xdr:row>5</xdr:row>
      <xdr:rowOff>223886</xdr:rowOff>
    </xdr:from>
    <xdr:ext cx="224998" cy="410049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8D81D0D1-BBB5-49F5-975F-B2F4077CE8F0}"/>
            </a:ext>
          </a:extLst>
        </xdr:cNvPr>
        <xdr:cNvSpPr txBox="1"/>
      </xdr:nvSpPr>
      <xdr:spPr>
        <a:xfrm rot="16200000">
          <a:off x="8697591" y="1230812"/>
          <a:ext cx="410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4</xdr:row>
      <xdr:rowOff>67490</xdr:rowOff>
    </xdr:from>
    <xdr:ext cx="293770" cy="1054087"/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2FC51263-AEE3-432D-9FBE-A8B63A342831}"/>
            </a:ext>
          </a:extLst>
        </xdr:cNvPr>
        <xdr:cNvCxnSpPr/>
      </xdr:nvCxnSpPr>
      <xdr:spPr>
        <a:xfrm flipH="1">
          <a:off x="10591800" y="753290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42</xdr:col>
      <xdr:colOff>30668</xdr:colOff>
      <xdr:row>4</xdr:row>
      <xdr:rowOff>44818</xdr:rowOff>
    </xdr:from>
    <xdr:to>
      <xdr:col>47</xdr:col>
      <xdr:colOff>63190</xdr:colOff>
      <xdr:row>8</xdr:row>
      <xdr:rowOff>219125</xdr:rowOff>
    </xdr:to>
    <xdr:sp macro="" textlink="">
      <xdr:nvSpPr>
        <xdr:cNvPr id="43" name="平行四辺形 42">
          <a:extLst>
            <a:ext uri="{FF2B5EF4-FFF2-40B4-BE49-F238E27FC236}">
              <a16:creationId xmlns:a16="http://schemas.microsoft.com/office/drawing/2014/main" id="{C44A4008-3B4D-4D68-9912-8204C9DC8FDA}"/>
            </a:ext>
          </a:extLst>
        </xdr:cNvPr>
        <xdr:cNvSpPr/>
      </xdr:nvSpPr>
      <xdr:spPr>
        <a:xfrm>
          <a:off x="9403268" y="730618"/>
          <a:ext cx="1175522" cy="1088707"/>
        </a:xfrm>
        <a:prstGeom prst="parallelogram">
          <a:avLst>
            <a:gd name="adj" fmla="val 28525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43</xdr:col>
      <xdr:colOff>108642</xdr:colOff>
      <xdr:row>15</xdr:row>
      <xdr:rowOff>113257</xdr:rowOff>
    </xdr:from>
    <xdr:ext cx="1188001" cy="0"/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FD91BF72-0964-49C0-B6DE-5D5DB785C981}"/>
            </a:ext>
          </a:extLst>
        </xdr:cNvPr>
        <xdr:cNvCxnSpPr/>
      </xdr:nvCxnSpPr>
      <xdr:spPr>
        <a:xfrm>
          <a:off x="9686481" y="3305870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15</xdr:row>
      <xdr:rowOff>117068</xdr:rowOff>
    </xdr:from>
    <xdr:ext cx="167606" cy="0"/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BE7EA00A-60C3-4A26-AFD8-D6991D872D06}"/>
            </a:ext>
          </a:extLst>
        </xdr:cNvPr>
        <xdr:cNvCxnSpPr/>
      </xdr:nvCxnSpPr>
      <xdr:spPr>
        <a:xfrm>
          <a:off x="8964652" y="3309681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212753</xdr:colOff>
      <xdr:row>21</xdr:row>
      <xdr:rowOff>78538</xdr:rowOff>
    </xdr:from>
    <xdr:ext cx="0" cy="161293"/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086D2BA-BF3D-4BFC-ABCE-50DE557B4570}"/>
            </a:ext>
          </a:extLst>
        </xdr:cNvPr>
        <xdr:cNvCxnSpPr/>
      </xdr:nvCxnSpPr>
      <xdr:spPr>
        <a:xfrm>
          <a:off x="10246680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109919</xdr:colOff>
      <xdr:row>20</xdr:row>
      <xdr:rowOff>40792</xdr:rowOff>
    </xdr:from>
    <xdr:ext cx="357790" cy="285527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B9C36790-E00C-469C-9345-CF886EDE525B}"/>
            </a:ext>
          </a:extLst>
        </xdr:cNvPr>
        <xdr:cNvSpPr txBox="1"/>
      </xdr:nvSpPr>
      <xdr:spPr>
        <a:xfrm>
          <a:off x="9231671" y="4373624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15</xdr:row>
      <xdr:rowOff>125582</xdr:rowOff>
    </xdr:from>
    <xdr:ext cx="299968" cy="1076325"/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45DACB0F-ECCA-49CB-9EAE-ABD4FE64A0B8}"/>
            </a:ext>
          </a:extLst>
        </xdr:cNvPr>
        <xdr:cNvCxnSpPr/>
      </xdr:nvCxnSpPr>
      <xdr:spPr>
        <a:xfrm flipH="1">
          <a:off x="10248893" y="3318195"/>
          <a:ext cx="299968" cy="107632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124698</xdr:colOff>
      <xdr:row>15</xdr:row>
      <xdr:rowOff>110571</xdr:rowOff>
    </xdr:from>
    <xdr:ext cx="0" cy="1080000"/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296FAE5A-B663-4F89-AEBB-7094BDC90479}"/>
            </a:ext>
          </a:extLst>
        </xdr:cNvPr>
        <xdr:cNvCxnSpPr/>
      </xdr:nvCxnSpPr>
      <xdr:spPr>
        <a:xfrm>
          <a:off x="9018406" y="3303184"/>
          <a:ext cx="0" cy="108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15</xdr:row>
      <xdr:rowOff>132102</xdr:rowOff>
    </xdr:from>
    <xdr:ext cx="310517" cy="1069805"/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AC8FF2DE-F770-4804-80D0-F4DE825AA4D5}"/>
            </a:ext>
          </a:extLst>
        </xdr:cNvPr>
        <xdr:cNvCxnSpPr/>
      </xdr:nvCxnSpPr>
      <xdr:spPr>
        <a:xfrm flipH="1">
          <a:off x="9383451" y="3324715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20</xdr:row>
      <xdr:rowOff>58569</xdr:rowOff>
    </xdr:from>
    <xdr:ext cx="1176035" cy="0"/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19A6A45C-588A-4A2A-A32C-8CCD41FE0079}"/>
            </a:ext>
          </a:extLst>
        </xdr:cNvPr>
        <xdr:cNvCxnSpPr/>
      </xdr:nvCxnSpPr>
      <xdr:spPr>
        <a:xfrm>
          <a:off x="9382703" y="4391401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20</xdr:row>
      <xdr:rowOff>55219</xdr:rowOff>
    </xdr:from>
    <xdr:ext cx="167606" cy="0"/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EED7D7A4-A2C3-47F9-BC4D-C5557EB07E6A}"/>
            </a:ext>
          </a:extLst>
        </xdr:cNvPr>
        <xdr:cNvCxnSpPr/>
      </xdr:nvCxnSpPr>
      <xdr:spPr>
        <a:xfrm>
          <a:off x="8964652" y="4388051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104393</xdr:colOff>
      <xdr:row>15</xdr:row>
      <xdr:rowOff>224269</xdr:rowOff>
    </xdr:from>
    <xdr:ext cx="224998" cy="444352"/>
    <xdr:sp macro="" textlink="$BO$18">
      <xdr:nvSpPr>
        <xdr:cNvPr id="51" name="テキスト ボックス 50">
          <a:extLst>
            <a:ext uri="{FF2B5EF4-FFF2-40B4-BE49-F238E27FC236}">
              <a16:creationId xmlns:a16="http://schemas.microsoft.com/office/drawing/2014/main" id="{7E56F82A-1BCC-4960-AB7D-EF31A7765B3F}"/>
            </a:ext>
          </a:extLst>
        </xdr:cNvPr>
        <xdr:cNvSpPr txBox="1"/>
      </xdr:nvSpPr>
      <xdr:spPr>
        <a:xfrm rot="16200000">
          <a:off x="8660380" y="352655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1E9A986-D2D2-4E0F-933F-57CD9246817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1.000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42</xdr:col>
      <xdr:colOff>13253</xdr:colOff>
      <xdr:row>21</xdr:row>
      <xdr:rowOff>78538</xdr:rowOff>
    </xdr:from>
    <xdr:ext cx="0" cy="161293"/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3F2B31CB-13CC-40F5-92C8-76344E946FC1}"/>
            </a:ext>
          </a:extLst>
        </xdr:cNvPr>
        <xdr:cNvCxnSpPr/>
      </xdr:nvCxnSpPr>
      <xdr:spPr>
        <a:xfrm>
          <a:off x="9363049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3702</xdr:colOff>
      <xdr:row>21</xdr:row>
      <xdr:rowOff>170636</xdr:rowOff>
    </xdr:from>
    <xdr:ext cx="908238" cy="0"/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4A127B54-04C8-475A-A2B1-A48497EC151A}"/>
            </a:ext>
          </a:extLst>
        </xdr:cNvPr>
        <xdr:cNvCxnSpPr/>
      </xdr:nvCxnSpPr>
      <xdr:spPr>
        <a:xfrm>
          <a:off x="9353498" y="4731512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43</xdr:col>
      <xdr:colOff>115211</xdr:colOff>
      <xdr:row>21</xdr:row>
      <xdr:rowOff>169340</xdr:rowOff>
    </xdr:from>
    <xdr:ext cx="444352" cy="224998"/>
    <xdr:sp macro="" textlink="$AF$22">
      <xdr:nvSpPr>
        <xdr:cNvPr id="63" name="テキスト ボックス 62">
          <a:extLst>
            <a:ext uri="{FF2B5EF4-FFF2-40B4-BE49-F238E27FC236}">
              <a16:creationId xmlns:a16="http://schemas.microsoft.com/office/drawing/2014/main" id="{95053D80-24AB-4829-8F4A-BA5F524F3462}"/>
            </a:ext>
          </a:extLst>
        </xdr:cNvPr>
        <xdr:cNvSpPr txBox="1"/>
      </xdr:nvSpPr>
      <xdr:spPr>
        <a:xfrm>
          <a:off x="9693050" y="473021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42</xdr:col>
      <xdr:colOff>107171</xdr:colOff>
      <xdr:row>21</xdr:row>
      <xdr:rowOff>176288</xdr:rowOff>
    </xdr:from>
    <xdr:ext cx="370935" cy="224998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5B983C2-B02D-41FD-925E-54D62397CE73}"/>
            </a:ext>
          </a:extLst>
        </xdr:cNvPr>
        <xdr:cNvSpPr txBox="1"/>
      </xdr:nvSpPr>
      <xdr:spPr>
        <a:xfrm>
          <a:off x="9456967" y="4737164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75367</xdr:colOff>
      <xdr:row>21</xdr:row>
      <xdr:rowOff>83189</xdr:rowOff>
    </xdr:from>
    <xdr:ext cx="0" cy="158183"/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C52665C1-D91E-472D-9097-3FC4ECB3335A}"/>
            </a:ext>
          </a:extLst>
        </xdr:cNvPr>
        <xdr:cNvCxnSpPr/>
      </xdr:nvCxnSpPr>
      <xdr:spPr>
        <a:xfrm>
          <a:off x="10565382" y="4644065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211029</xdr:colOff>
      <xdr:row>21</xdr:row>
      <xdr:rowOff>170641</xdr:rowOff>
    </xdr:from>
    <xdr:ext cx="324000" cy="0"/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9F29620E-2EBB-408D-A1BF-BDB7A50F42AC}"/>
            </a:ext>
          </a:extLst>
        </xdr:cNvPr>
        <xdr:cNvCxnSpPr/>
      </xdr:nvCxnSpPr>
      <xdr:spPr>
        <a:xfrm>
          <a:off x="10244956" y="4731517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193079</xdr:colOff>
      <xdr:row>20</xdr:row>
      <xdr:rowOff>178957</xdr:rowOff>
    </xdr:from>
    <xdr:ext cx="370935" cy="224998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656E42C5-6527-4789-A547-D46C8E533279}"/>
            </a:ext>
          </a:extLst>
        </xdr:cNvPr>
        <xdr:cNvSpPr txBox="1"/>
      </xdr:nvSpPr>
      <xdr:spPr>
        <a:xfrm>
          <a:off x="10227006" y="4511789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₄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45</xdr:col>
      <xdr:colOff>164733</xdr:colOff>
      <xdr:row>21</xdr:row>
      <xdr:rowOff>181994</xdr:rowOff>
    </xdr:from>
    <xdr:ext cx="444352" cy="224998"/>
    <xdr:sp macro="" textlink="$AF$34">
      <xdr:nvSpPr>
        <xdr:cNvPr id="68" name="テキスト ボックス 67">
          <a:extLst>
            <a:ext uri="{FF2B5EF4-FFF2-40B4-BE49-F238E27FC236}">
              <a16:creationId xmlns:a16="http://schemas.microsoft.com/office/drawing/2014/main" id="{8CC80C6E-631A-4066-8085-2AB4FB16C8D3}"/>
            </a:ext>
          </a:extLst>
        </xdr:cNvPr>
        <xdr:cNvSpPr txBox="1"/>
      </xdr:nvSpPr>
      <xdr:spPr>
        <a:xfrm>
          <a:off x="10198660" y="474287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A93A2AC-EADF-4B90-994A-2C09C94304BF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0.265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103317</xdr:colOff>
      <xdr:row>17</xdr:row>
      <xdr:rowOff>66316</xdr:rowOff>
    </xdr:from>
    <xdr:ext cx="224998" cy="410049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6FB3EA5B-096A-4495-A5EA-9ECF5F9467F0}"/>
            </a:ext>
          </a:extLst>
        </xdr:cNvPr>
        <xdr:cNvSpPr txBox="1"/>
      </xdr:nvSpPr>
      <xdr:spPr>
        <a:xfrm rot="16200000">
          <a:off x="8676455" y="3807543"/>
          <a:ext cx="410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15</xdr:row>
      <xdr:rowOff>137964</xdr:rowOff>
    </xdr:from>
    <xdr:ext cx="293770" cy="1054087"/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682C8468-5DB5-438F-B711-36B4AD84C86D}"/>
            </a:ext>
          </a:extLst>
        </xdr:cNvPr>
        <xdr:cNvCxnSpPr/>
      </xdr:nvCxnSpPr>
      <xdr:spPr>
        <a:xfrm flipH="1">
          <a:off x="10566215" y="3330577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45</xdr:col>
      <xdr:colOff>212939</xdr:colOff>
      <xdr:row>15</xdr:row>
      <xdr:rowOff>115292</xdr:rowOff>
    </xdr:from>
    <xdr:to>
      <xdr:col>48</xdr:col>
      <xdr:colOff>148442</xdr:colOff>
      <xdr:row>20</xdr:row>
      <xdr:rowOff>61554</xdr:rowOff>
    </xdr:to>
    <xdr:sp macro="" textlink="">
      <xdr:nvSpPr>
        <xdr:cNvPr id="71" name="平行四辺形 70">
          <a:extLst>
            <a:ext uri="{FF2B5EF4-FFF2-40B4-BE49-F238E27FC236}">
              <a16:creationId xmlns:a16="http://schemas.microsoft.com/office/drawing/2014/main" id="{100DBFCD-7859-49FA-985B-61A6AD66C408}"/>
            </a:ext>
          </a:extLst>
        </xdr:cNvPr>
        <xdr:cNvSpPr/>
      </xdr:nvSpPr>
      <xdr:spPr>
        <a:xfrm>
          <a:off x="10246866" y="3307905"/>
          <a:ext cx="619634" cy="1086481"/>
        </a:xfrm>
        <a:prstGeom prst="parallelogram">
          <a:avLst>
            <a:gd name="adj" fmla="val 49427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48</xdr:col>
      <xdr:colOff>133894</xdr:colOff>
      <xdr:row>21</xdr:row>
      <xdr:rowOff>76680</xdr:rowOff>
    </xdr:from>
    <xdr:ext cx="370935" cy="224998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E4C696AC-8584-9FB1-5B86-D80B7F0D73F2}"/>
            </a:ext>
          </a:extLst>
        </xdr:cNvPr>
        <xdr:cNvSpPr txBox="1"/>
      </xdr:nvSpPr>
      <xdr:spPr>
        <a:xfrm>
          <a:off x="10851952" y="4637556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₅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49</xdr:col>
      <xdr:colOff>127743</xdr:colOff>
      <xdr:row>21</xdr:row>
      <xdr:rowOff>78420</xdr:rowOff>
    </xdr:from>
    <xdr:ext cx="444352" cy="224998"/>
    <xdr:sp macro="" textlink="$BO$22">
      <xdr:nvSpPr>
        <xdr:cNvPr id="75" name="テキスト ボックス 74">
          <a:extLst>
            <a:ext uri="{FF2B5EF4-FFF2-40B4-BE49-F238E27FC236}">
              <a16:creationId xmlns:a16="http://schemas.microsoft.com/office/drawing/2014/main" id="{735C2139-1A89-8281-5F50-C4FC2B78945E}"/>
            </a:ext>
          </a:extLst>
        </xdr:cNvPr>
        <xdr:cNvSpPr txBox="1"/>
      </xdr:nvSpPr>
      <xdr:spPr>
        <a:xfrm>
          <a:off x="11073845" y="46392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DCD3D45-404A-4228-ADFD-93B194117D9C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63068</xdr:colOff>
      <xdr:row>21</xdr:row>
      <xdr:rowOff>170641</xdr:rowOff>
    </xdr:from>
    <xdr:ext cx="324000" cy="0"/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2A6B84E4-403A-B2BB-F597-162F3F3A39F4}"/>
            </a:ext>
          </a:extLst>
        </xdr:cNvPr>
        <xdr:cNvCxnSpPr/>
      </xdr:nvCxnSpPr>
      <xdr:spPr>
        <a:xfrm>
          <a:off x="10553083" y="4731517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48</xdr:col>
      <xdr:colOff>161214</xdr:colOff>
      <xdr:row>21</xdr:row>
      <xdr:rowOff>78538</xdr:rowOff>
    </xdr:from>
    <xdr:ext cx="0" cy="161293"/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22C0E64F-EBDC-AF2E-50DD-53FA2D9BD3D2}"/>
            </a:ext>
          </a:extLst>
        </xdr:cNvPr>
        <xdr:cNvCxnSpPr/>
      </xdr:nvCxnSpPr>
      <xdr:spPr>
        <a:xfrm>
          <a:off x="10879272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43126</xdr:colOff>
      <xdr:row>30</xdr:row>
      <xdr:rowOff>199275</xdr:rowOff>
    </xdr:from>
    <xdr:ext cx="167606" cy="0"/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F275118D-7854-4DD2-8C21-AC3B533D977F}"/>
            </a:ext>
          </a:extLst>
        </xdr:cNvPr>
        <xdr:cNvCxnSpPr/>
      </xdr:nvCxnSpPr>
      <xdr:spPr>
        <a:xfrm>
          <a:off x="8936834" y="6812545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47</xdr:col>
      <xdr:colOff>174813</xdr:colOff>
      <xdr:row>33</xdr:row>
      <xdr:rowOff>102723</xdr:rowOff>
    </xdr:from>
    <xdr:ext cx="0" cy="161293"/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204D69BA-40BB-4597-9538-DE7E0FA59558}"/>
            </a:ext>
          </a:extLst>
        </xdr:cNvPr>
        <xdr:cNvCxnSpPr/>
      </xdr:nvCxnSpPr>
      <xdr:spPr>
        <a:xfrm>
          <a:off x="10719704" y="743830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5134</xdr:colOff>
      <xdr:row>32</xdr:row>
      <xdr:rowOff>37226</xdr:rowOff>
    </xdr:from>
    <xdr:ext cx="357790" cy="285527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2BA2278A-A117-4F7C-8029-E63A88EC1C00}"/>
            </a:ext>
          </a:extLst>
        </xdr:cNvPr>
        <xdr:cNvSpPr txBox="1"/>
      </xdr:nvSpPr>
      <xdr:spPr>
        <a:xfrm>
          <a:off x="9149134" y="7123826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28</xdr:row>
      <xdr:rowOff>36286</xdr:rowOff>
    </xdr:from>
    <xdr:ext cx="170673" cy="612398"/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E42F0A1B-8AB5-4C10-91A3-B8AF22DE46F6}"/>
            </a:ext>
          </a:extLst>
        </xdr:cNvPr>
        <xdr:cNvCxnSpPr/>
      </xdr:nvCxnSpPr>
      <xdr:spPr>
        <a:xfrm flipH="1">
          <a:off x="10433023" y="6306457"/>
          <a:ext cx="170673" cy="61239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135739</xdr:colOff>
      <xdr:row>32</xdr:row>
      <xdr:rowOff>38007</xdr:rowOff>
    </xdr:from>
    <xdr:ext cx="37664" cy="42986"/>
    <xdr:sp macro="" textlink="">
      <xdr:nvSpPr>
        <xdr:cNvPr id="82" name="楕円 81">
          <a:extLst>
            <a:ext uri="{FF2B5EF4-FFF2-40B4-BE49-F238E27FC236}">
              <a16:creationId xmlns:a16="http://schemas.microsoft.com/office/drawing/2014/main" id="{28B3B09E-2660-4BED-9DBD-0AD72847FA8A}"/>
            </a:ext>
          </a:extLst>
        </xdr:cNvPr>
        <xdr:cNvSpPr/>
      </xdr:nvSpPr>
      <xdr:spPr>
        <a:xfrm>
          <a:off x="9279739" y="712460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40</xdr:col>
      <xdr:colOff>96880</xdr:colOff>
      <xdr:row>30</xdr:row>
      <xdr:rowOff>201266</xdr:rowOff>
    </xdr:from>
    <xdr:ext cx="0" cy="324000"/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E6F6BFC-AFF2-400C-ABFE-2842CC7D7EE5}"/>
            </a:ext>
          </a:extLst>
        </xdr:cNvPr>
        <xdr:cNvCxnSpPr/>
      </xdr:nvCxnSpPr>
      <xdr:spPr>
        <a:xfrm>
          <a:off x="8990588" y="6814536"/>
          <a:ext cx="0" cy="324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28</xdr:row>
      <xdr:rowOff>50800</xdr:rowOff>
    </xdr:from>
    <xdr:ext cx="173539" cy="597884"/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B44E1C8F-A400-4148-A192-9E946AE25B33}"/>
            </a:ext>
          </a:extLst>
        </xdr:cNvPr>
        <xdr:cNvCxnSpPr/>
      </xdr:nvCxnSpPr>
      <xdr:spPr>
        <a:xfrm flipH="1">
          <a:off x="9555026" y="6320971"/>
          <a:ext cx="173539" cy="597884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30</xdr:row>
      <xdr:rowOff>197847</xdr:rowOff>
    </xdr:from>
    <xdr:ext cx="1176035" cy="0"/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2627B716-6756-474E-8441-DE7366144514}"/>
            </a:ext>
          </a:extLst>
        </xdr:cNvPr>
        <xdr:cNvCxnSpPr/>
      </xdr:nvCxnSpPr>
      <xdr:spPr>
        <a:xfrm>
          <a:off x="9405507" y="6827247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45249</xdr:colOff>
      <xdr:row>32</xdr:row>
      <xdr:rowOff>68947</xdr:rowOff>
    </xdr:from>
    <xdr:ext cx="167606" cy="0"/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711D3B3B-F312-404E-A073-FF43114D35DB}"/>
            </a:ext>
          </a:extLst>
        </xdr:cNvPr>
        <xdr:cNvCxnSpPr/>
      </xdr:nvCxnSpPr>
      <xdr:spPr>
        <a:xfrm>
          <a:off x="8938957" y="7138305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76575</xdr:colOff>
      <xdr:row>30</xdr:row>
      <xdr:rowOff>147921</xdr:rowOff>
    </xdr:from>
    <xdr:ext cx="224998" cy="444352"/>
    <xdr:sp macro="" textlink="$BO$31">
      <xdr:nvSpPr>
        <xdr:cNvPr id="90" name="テキスト ボックス 89">
          <a:extLst>
            <a:ext uri="{FF2B5EF4-FFF2-40B4-BE49-F238E27FC236}">
              <a16:creationId xmlns:a16="http://schemas.microsoft.com/office/drawing/2014/main" id="{BE3F156B-5F87-4E59-AFA8-00779CAD720E}"/>
            </a:ext>
          </a:extLst>
        </xdr:cNvPr>
        <xdr:cNvSpPr txBox="1"/>
      </xdr:nvSpPr>
      <xdr:spPr>
        <a:xfrm rot="16200000">
          <a:off x="8632562" y="687086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EF9093D-BA89-4771-8812-55301F26C27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41</xdr:col>
      <xdr:colOff>146603</xdr:colOff>
      <xdr:row>33</xdr:row>
      <xdr:rowOff>102723</xdr:rowOff>
    </xdr:from>
    <xdr:ext cx="0" cy="161293"/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6D253B4E-A23D-4051-86DD-FA3C944DFDFD}"/>
            </a:ext>
          </a:extLst>
        </xdr:cNvPr>
        <xdr:cNvCxnSpPr/>
      </xdr:nvCxnSpPr>
      <xdr:spPr>
        <a:xfrm>
          <a:off x="9290603" y="7417923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146578</xdr:colOff>
      <xdr:row>33</xdr:row>
      <xdr:rowOff>218169</xdr:rowOff>
    </xdr:from>
    <xdr:ext cx="1404000" cy="0"/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381F727E-8D29-4A05-A013-64F5E160A45C}"/>
            </a:ext>
          </a:extLst>
        </xdr:cNvPr>
        <xdr:cNvCxnSpPr/>
      </xdr:nvCxnSpPr>
      <xdr:spPr>
        <a:xfrm>
          <a:off x="9316049" y="7553746"/>
          <a:ext cx="140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44</xdr:col>
      <xdr:colOff>96373</xdr:colOff>
      <xdr:row>33</xdr:row>
      <xdr:rowOff>210505</xdr:rowOff>
    </xdr:from>
    <xdr:ext cx="444352" cy="224998"/>
    <xdr:sp macro="" textlink="$BO$32">
      <xdr:nvSpPr>
        <xdr:cNvPr id="93" name="テキスト ボックス 92">
          <a:extLst>
            <a:ext uri="{FF2B5EF4-FFF2-40B4-BE49-F238E27FC236}">
              <a16:creationId xmlns:a16="http://schemas.microsoft.com/office/drawing/2014/main" id="{C31F46D3-997E-4C39-85FA-702E2EF65ABE}"/>
            </a:ext>
          </a:extLst>
        </xdr:cNvPr>
        <xdr:cNvSpPr txBox="1"/>
      </xdr:nvSpPr>
      <xdr:spPr>
        <a:xfrm>
          <a:off x="10068634" y="763172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7C39073-2660-4DF7-BB65-5034B68348C3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43</xdr:col>
      <xdr:colOff>113805</xdr:colOff>
      <xdr:row>33</xdr:row>
      <xdr:rowOff>213208</xdr:rowOff>
    </xdr:from>
    <xdr:ext cx="349135" cy="224998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81B01535-4406-4EDE-B493-7FB7FED622CA}"/>
            </a:ext>
          </a:extLst>
        </xdr:cNvPr>
        <xdr:cNvSpPr txBox="1"/>
      </xdr:nvSpPr>
      <xdr:spPr>
        <a:xfrm>
          <a:off x="9741749" y="7548785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75499</xdr:colOff>
      <xdr:row>31</xdr:row>
      <xdr:rowOff>174503</xdr:rowOff>
    </xdr:from>
    <xdr:ext cx="224998" cy="412164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9D63D9FA-85E7-455D-B713-84278B4D37AA}"/>
            </a:ext>
          </a:extLst>
        </xdr:cNvPr>
        <xdr:cNvSpPr txBox="1"/>
      </xdr:nvSpPr>
      <xdr:spPr>
        <a:xfrm rot="16200000">
          <a:off x="8647580" y="7109400"/>
          <a:ext cx="4121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28</xdr:row>
      <xdr:rowOff>29029</xdr:rowOff>
    </xdr:from>
    <xdr:ext cx="169949" cy="609799"/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9863AAF6-CA72-414A-A158-0CD119C27641}"/>
            </a:ext>
          </a:extLst>
        </xdr:cNvPr>
        <xdr:cNvCxnSpPr/>
      </xdr:nvCxnSpPr>
      <xdr:spPr>
        <a:xfrm flipH="1">
          <a:off x="10758714" y="6299200"/>
          <a:ext cx="169949" cy="60979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23025</xdr:colOff>
      <xdr:row>8</xdr:row>
      <xdr:rowOff>202307</xdr:rowOff>
    </xdr:from>
    <xdr:ext cx="37664" cy="42986"/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60607942-DFC8-406D-9DB5-30B30BDCA49A}"/>
            </a:ext>
          </a:extLst>
        </xdr:cNvPr>
        <xdr:cNvSpPr/>
      </xdr:nvSpPr>
      <xdr:spPr>
        <a:xfrm>
          <a:off x="9372821" y="1798614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42</xdr:col>
      <xdr:colOff>17463</xdr:colOff>
      <xdr:row>20</xdr:row>
      <xdr:rowOff>44736</xdr:rowOff>
    </xdr:from>
    <xdr:ext cx="37664" cy="42986"/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6A904C5A-5104-4D7C-8900-A0401B21B35E}"/>
            </a:ext>
          </a:extLst>
        </xdr:cNvPr>
        <xdr:cNvSpPr/>
      </xdr:nvSpPr>
      <xdr:spPr>
        <a:xfrm>
          <a:off x="9367259" y="437756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7</xdr:col>
      <xdr:colOff>78576</xdr:colOff>
      <xdr:row>32</xdr:row>
      <xdr:rowOff>70761</xdr:rowOff>
    </xdr:from>
    <xdr:ext cx="37664" cy="42986"/>
    <xdr:sp macro="" textlink="">
      <xdr:nvSpPr>
        <xdr:cNvPr id="269" name="楕円 268">
          <a:extLst>
            <a:ext uri="{FF2B5EF4-FFF2-40B4-BE49-F238E27FC236}">
              <a16:creationId xmlns:a16="http://schemas.microsoft.com/office/drawing/2014/main" id="{A6397634-77B2-4CC1-A198-4ABDBEFB5437}"/>
            </a:ext>
          </a:extLst>
        </xdr:cNvPr>
        <xdr:cNvSpPr/>
      </xdr:nvSpPr>
      <xdr:spPr>
        <a:xfrm>
          <a:off x="9391095" y="1433569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100</xdr:col>
      <xdr:colOff>118156</xdr:colOff>
      <xdr:row>26</xdr:row>
      <xdr:rowOff>139385</xdr:rowOff>
    </xdr:from>
    <xdr:to>
      <xdr:col>102</xdr:col>
      <xdr:colOff>70744</xdr:colOff>
      <xdr:row>26</xdr:row>
      <xdr:rowOff>139385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F286CCBA-C253-486E-8AAC-9468E0D1A8C8}"/>
            </a:ext>
          </a:extLst>
        </xdr:cNvPr>
        <xdr:cNvCxnSpPr/>
      </xdr:nvCxnSpPr>
      <xdr:spPr>
        <a:xfrm>
          <a:off x="22978156" y="6082985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140530</xdr:colOff>
      <xdr:row>26</xdr:row>
      <xdr:rowOff>140644</xdr:rowOff>
    </xdr:from>
    <xdr:to>
      <xdr:col>102</xdr:col>
      <xdr:colOff>70222</xdr:colOff>
      <xdr:row>35</xdr:row>
      <xdr:rowOff>199458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A9EDCACB-369B-4D32-9E50-5108556EA36E}"/>
            </a:ext>
          </a:extLst>
        </xdr:cNvPr>
        <xdr:cNvCxnSpPr/>
      </xdr:nvCxnSpPr>
      <xdr:spPr>
        <a:xfrm flipH="1">
          <a:off x="22771930" y="6084244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200610</xdr:colOff>
      <xdr:row>28</xdr:row>
      <xdr:rowOff>86838</xdr:rowOff>
    </xdr:from>
    <xdr:ext cx="224998" cy="213520"/>
    <xdr:sp macro="" textlink="$U$15">
      <xdr:nvSpPr>
        <xdr:cNvPr id="110" name="テキスト ボックス 109">
          <a:extLst>
            <a:ext uri="{FF2B5EF4-FFF2-40B4-BE49-F238E27FC236}">
              <a16:creationId xmlns:a16="http://schemas.microsoft.com/office/drawing/2014/main" id="{9000438A-40C2-48F0-98B4-5B3F1C892997}"/>
            </a:ext>
          </a:extLst>
        </xdr:cNvPr>
        <xdr:cNvSpPr txBox="1"/>
      </xdr:nvSpPr>
      <xdr:spPr>
        <a:xfrm rot="17160000">
          <a:off x="23294949" y="6481899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186449</xdr:colOff>
      <xdr:row>26</xdr:row>
      <xdr:rowOff>135881</xdr:rowOff>
    </xdr:from>
    <xdr:to>
      <xdr:col>100</xdr:col>
      <xdr:colOff>117389</xdr:colOff>
      <xdr:row>35</xdr:row>
      <xdr:rowOff>199049</xdr:rowOff>
    </xdr:to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932BE6D5-7684-4564-A367-12462DAF1075}"/>
            </a:ext>
          </a:extLst>
        </xdr:cNvPr>
        <xdr:cNvCxnSpPr/>
      </xdr:nvCxnSpPr>
      <xdr:spPr>
        <a:xfrm flipH="1">
          <a:off x="22360649" y="6079481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144301</xdr:colOff>
      <xdr:row>35</xdr:row>
      <xdr:rowOff>203404</xdr:rowOff>
    </xdr:from>
    <xdr:to>
      <xdr:col>99</xdr:col>
      <xdr:colOff>168889</xdr:colOff>
      <xdr:row>36</xdr:row>
      <xdr:rowOff>66475</xdr:rowOff>
    </xdr:to>
    <xdr:sp macro="" textlink="">
      <xdr:nvSpPr>
        <xdr:cNvPr id="112" name="正方形/長方形 111">
          <a:extLst>
            <a:ext uri="{FF2B5EF4-FFF2-40B4-BE49-F238E27FC236}">
              <a16:creationId xmlns:a16="http://schemas.microsoft.com/office/drawing/2014/main" id="{086C5B91-E4F1-43A9-9717-694F4746241D}"/>
            </a:ext>
          </a:extLst>
        </xdr:cNvPr>
        <xdr:cNvSpPr/>
      </xdr:nvSpPr>
      <xdr:spPr>
        <a:xfrm>
          <a:off x="22318501" y="8204404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99</xdr:col>
      <xdr:colOff>48681</xdr:colOff>
      <xdr:row>27</xdr:row>
      <xdr:rowOff>34258</xdr:rowOff>
    </xdr:from>
    <xdr:to>
      <xdr:col>101</xdr:col>
      <xdr:colOff>164963</xdr:colOff>
      <xdr:row>35</xdr:row>
      <xdr:rowOff>199458</xdr:rowOff>
    </xdr:to>
    <xdr:cxnSp macro="">
      <xdr:nvCxnSpPr>
        <xdr:cNvPr id="119" name="直線コネクタ 118">
          <a:extLst>
            <a:ext uri="{FF2B5EF4-FFF2-40B4-BE49-F238E27FC236}">
              <a16:creationId xmlns:a16="http://schemas.microsoft.com/office/drawing/2014/main" id="{8ED31996-9FDF-497B-9917-95FD8CCFFC5A}"/>
            </a:ext>
          </a:extLst>
        </xdr:cNvPr>
        <xdr:cNvCxnSpPr/>
      </xdr:nvCxnSpPr>
      <xdr:spPr>
        <a:xfrm flipH="1">
          <a:off x="22680081" y="6206458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69530</xdr:colOff>
      <xdr:row>34</xdr:row>
      <xdr:rowOff>62913</xdr:rowOff>
    </xdr:from>
    <xdr:to>
      <xdr:col>99</xdr:col>
      <xdr:colOff>153735</xdr:colOff>
      <xdr:row>34</xdr:row>
      <xdr:rowOff>62913</xdr:rowOff>
    </xdr:to>
    <xdr:cxnSp macro="">
      <xdr:nvCxnSpPr>
        <xdr:cNvPr id="121" name="直線コネクタ 120">
          <a:extLst>
            <a:ext uri="{FF2B5EF4-FFF2-40B4-BE49-F238E27FC236}">
              <a16:creationId xmlns:a16="http://schemas.microsoft.com/office/drawing/2014/main" id="{15DEC8A7-00E6-4099-ABEC-87E59A6A22EF}"/>
            </a:ext>
          </a:extLst>
        </xdr:cNvPr>
        <xdr:cNvCxnSpPr/>
      </xdr:nvCxnSpPr>
      <xdr:spPr>
        <a:xfrm>
          <a:off x="22472330" y="7835313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169680</xdr:colOff>
      <xdr:row>32</xdr:row>
      <xdr:rowOff>171499</xdr:rowOff>
    </xdr:from>
    <xdr:to>
      <xdr:col>100</xdr:col>
      <xdr:colOff>32180</xdr:colOff>
      <xdr:row>32</xdr:row>
      <xdr:rowOff>171499</xdr:rowOff>
    </xdr:to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6CB506D0-4AC2-46E4-8B75-7FE4578335D3}"/>
            </a:ext>
          </a:extLst>
        </xdr:cNvPr>
        <xdr:cNvCxnSpPr/>
      </xdr:nvCxnSpPr>
      <xdr:spPr>
        <a:xfrm>
          <a:off x="22572480" y="7486699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43769</xdr:colOff>
      <xdr:row>31</xdr:row>
      <xdr:rowOff>38150</xdr:rowOff>
    </xdr:from>
    <xdr:to>
      <xdr:col>100</xdr:col>
      <xdr:colOff>127975</xdr:colOff>
      <xdr:row>31</xdr:row>
      <xdr:rowOff>38150</xdr:rowOff>
    </xdr:to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9814D29E-0EBC-4C52-A3D8-19639A04E9F6}"/>
            </a:ext>
          </a:extLst>
        </xdr:cNvPr>
        <xdr:cNvCxnSpPr/>
      </xdr:nvCxnSpPr>
      <xdr:spPr>
        <a:xfrm>
          <a:off x="22675169" y="7124750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148272</xdr:colOff>
      <xdr:row>29</xdr:row>
      <xdr:rowOff>135847</xdr:rowOff>
    </xdr:from>
    <xdr:to>
      <xdr:col>101</xdr:col>
      <xdr:colOff>1156</xdr:colOff>
      <xdr:row>29</xdr:row>
      <xdr:rowOff>135847</xdr:rowOff>
    </xdr:to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3233E556-70E4-4552-9D88-C0B8775C4A8A}"/>
            </a:ext>
          </a:extLst>
        </xdr:cNvPr>
        <xdr:cNvCxnSpPr/>
      </xdr:nvCxnSpPr>
      <xdr:spPr>
        <a:xfrm>
          <a:off x="22779672" y="6765247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35423</xdr:colOff>
      <xdr:row>28</xdr:row>
      <xdr:rowOff>4675</xdr:rowOff>
    </xdr:from>
    <xdr:to>
      <xdr:col>101</xdr:col>
      <xdr:colOff>119628</xdr:colOff>
      <xdr:row>28</xdr:row>
      <xdr:rowOff>4675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D82197ED-F241-4C64-A70B-E6EC4BA1AFDF}"/>
            </a:ext>
          </a:extLst>
        </xdr:cNvPr>
        <xdr:cNvCxnSpPr/>
      </xdr:nvCxnSpPr>
      <xdr:spPr>
        <a:xfrm>
          <a:off x="22895423" y="6405475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74203</xdr:colOff>
      <xdr:row>27</xdr:row>
      <xdr:rowOff>28759</xdr:rowOff>
    </xdr:from>
    <xdr:to>
      <xdr:col>102</xdr:col>
      <xdr:colOff>43247</xdr:colOff>
      <xdr:row>27</xdr:row>
      <xdr:rowOff>28759</xdr:rowOff>
    </xdr:to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FFCCA8EF-DB6C-41B9-B353-BA3522B3BBC7}"/>
            </a:ext>
          </a:extLst>
        </xdr:cNvPr>
        <xdr:cNvCxnSpPr/>
      </xdr:nvCxnSpPr>
      <xdr:spPr>
        <a:xfrm>
          <a:off x="22934203" y="6200959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124911</xdr:colOff>
      <xdr:row>35</xdr:row>
      <xdr:rowOff>217580</xdr:rowOff>
    </xdr:from>
    <xdr:ext cx="530915" cy="285527"/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A1E451DE-11B2-410E-89B8-0BC6639EAD32}"/>
            </a:ext>
          </a:extLst>
        </xdr:cNvPr>
        <xdr:cNvSpPr txBox="1"/>
      </xdr:nvSpPr>
      <xdr:spPr>
        <a:xfrm>
          <a:off x="21841911" y="821858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基礎部</a:t>
          </a:r>
        </a:p>
      </xdr:txBody>
    </xdr:sp>
    <xdr:clientData/>
  </xdr:oneCellAnchor>
  <xdr:oneCellAnchor>
    <xdr:from>
      <xdr:col>97</xdr:col>
      <xdr:colOff>135038</xdr:colOff>
      <xdr:row>36</xdr:row>
      <xdr:rowOff>65910</xdr:rowOff>
    </xdr:from>
    <xdr:ext cx="37664" cy="42986"/>
    <xdr:sp macro="" textlink="">
      <xdr:nvSpPr>
        <xdr:cNvPr id="162" name="楕円 161">
          <a:extLst>
            <a:ext uri="{FF2B5EF4-FFF2-40B4-BE49-F238E27FC236}">
              <a16:creationId xmlns:a16="http://schemas.microsoft.com/office/drawing/2014/main" id="{6A7692EB-8B1D-421F-AA9D-24157FC50D8B}"/>
            </a:ext>
          </a:extLst>
        </xdr:cNvPr>
        <xdr:cNvSpPr/>
      </xdr:nvSpPr>
      <xdr:spPr>
        <a:xfrm>
          <a:off x="22309238" y="8295510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97</xdr:col>
      <xdr:colOff>170206</xdr:colOff>
      <xdr:row>35</xdr:row>
      <xdr:rowOff>190758</xdr:rowOff>
    </xdr:from>
    <xdr:ext cx="37664" cy="42986"/>
    <xdr:sp macro="" textlink="">
      <xdr:nvSpPr>
        <xdr:cNvPr id="163" name="楕円 162">
          <a:extLst>
            <a:ext uri="{FF2B5EF4-FFF2-40B4-BE49-F238E27FC236}">
              <a16:creationId xmlns:a16="http://schemas.microsoft.com/office/drawing/2014/main" id="{B5A738CF-6FA2-4312-826D-5CDE08DBC087}"/>
            </a:ext>
          </a:extLst>
        </xdr:cNvPr>
        <xdr:cNvSpPr/>
      </xdr:nvSpPr>
      <xdr:spPr>
        <a:xfrm>
          <a:off x="22344406" y="819175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36854</xdr:colOff>
      <xdr:row>34</xdr:row>
      <xdr:rowOff>48608</xdr:rowOff>
    </xdr:from>
    <xdr:ext cx="37664" cy="42986"/>
    <xdr:sp macro="" textlink="">
      <xdr:nvSpPr>
        <xdr:cNvPr id="164" name="楕円 163">
          <a:extLst>
            <a:ext uri="{FF2B5EF4-FFF2-40B4-BE49-F238E27FC236}">
              <a16:creationId xmlns:a16="http://schemas.microsoft.com/office/drawing/2014/main" id="{AB568672-61B2-487F-AF80-ABE9906C2B4A}"/>
            </a:ext>
          </a:extLst>
        </xdr:cNvPr>
        <xdr:cNvSpPr/>
      </xdr:nvSpPr>
      <xdr:spPr>
        <a:xfrm>
          <a:off x="22439654" y="782100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145292</xdr:colOff>
      <xdr:row>32</xdr:row>
      <xdr:rowOff>158508</xdr:rowOff>
    </xdr:from>
    <xdr:ext cx="37664" cy="42986"/>
    <xdr:sp macro="" textlink="">
      <xdr:nvSpPr>
        <xdr:cNvPr id="165" name="楕円 164">
          <a:extLst>
            <a:ext uri="{FF2B5EF4-FFF2-40B4-BE49-F238E27FC236}">
              <a16:creationId xmlns:a16="http://schemas.microsoft.com/office/drawing/2014/main" id="{3942A23C-15B8-4213-A476-9CEC3886D506}"/>
            </a:ext>
          </a:extLst>
        </xdr:cNvPr>
        <xdr:cNvSpPr/>
      </xdr:nvSpPr>
      <xdr:spPr>
        <a:xfrm>
          <a:off x="22548092" y="747370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95</xdr:col>
      <xdr:colOff>130773</xdr:colOff>
      <xdr:row>35</xdr:row>
      <xdr:rowOff>38803</xdr:rowOff>
    </xdr:from>
    <xdr:ext cx="530915" cy="285527"/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3177B2C7-D013-4C43-B085-9AC31180EB34}"/>
            </a:ext>
          </a:extLst>
        </xdr:cNvPr>
        <xdr:cNvSpPr txBox="1"/>
      </xdr:nvSpPr>
      <xdr:spPr>
        <a:xfrm>
          <a:off x="21847773" y="8039803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１段目</a:t>
          </a:r>
        </a:p>
      </xdr:txBody>
    </xdr:sp>
    <xdr:clientData/>
  </xdr:oneCellAnchor>
  <xdr:oneCellAnchor>
    <xdr:from>
      <xdr:col>96</xdr:col>
      <xdr:colOff>562</xdr:colOff>
      <xdr:row>33</xdr:row>
      <xdr:rowOff>141378</xdr:rowOff>
    </xdr:from>
    <xdr:ext cx="530915" cy="285527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AF4A03C7-3546-4453-932F-3C3AA3839E6C}"/>
            </a:ext>
          </a:extLst>
        </xdr:cNvPr>
        <xdr:cNvSpPr txBox="1"/>
      </xdr:nvSpPr>
      <xdr:spPr>
        <a:xfrm>
          <a:off x="21946162" y="7685178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２段目</a:t>
          </a:r>
        </a:p>
      </xdr:txBody>
    </xdr:sp>
    <xdr:clientData/>
  </xdr:oneCellAnchor>
  <xdr:oneCellAnchor>
    <xdr:from>
      <xdr:col>96</xdr:col>
      <xdr:colOff>98534</xdr:colOff>
      <xdr:row>32</xdr:row>
      <xdr:rowOff>43197</xdr:rowOff>
    </xdr:from>
    <xdr:ext cx="530915" cy="285527"/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8BD21E8-02D5-4F33-BD21-A72A52E06BB2}"/>
            </a:ext>
          </a:extLst>
        </xdr:cNvPr>
        <xdr:cNvSpPr txBox="1"/>
      </xdr:nvSpPr>
      <xdr:spPr>
        <a:xfrm>
          <a:off x="22044134" y="7358397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３段目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105081</xdr:colOff>
      <xdr:row>19</xdr:row>
      <xdr:rowOff>221302</xdr:rowOff>
    </xdr:from>
    <xdr:to>
      <xdr:col>103</xdr:col>
      <xdr:colOff>18593</xdr:colOff>
      <xdr:row>29</xdr:row>
      <xdr:rowOff>76723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203D3FB-3F9A-4027-91CB-CE17A3D1466D}"/>
            </a:ext>
          </a:extLst>
        </xdr:cNvPr>
        <xdr:cNvCxnSpPr/>
      </xdr:nvCxnSpPr>
      <xdr:spPr>
        <a:xfrm flipV="1">
          <a:off x="13821081" y="4564702"/>
          <a:ext cx="1970912" cy="2141421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92</xdr:col>
      <xdr:colOff>75731</xdr:colOff>
      <xdr:row>29</xdr:row>
      <xdr:rowOff>141088</xdr:rowOff>
    </xdr:from>
    <xdr:ext cx="376834" cy="2249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0DE357B-730C-4951-9B03-8899CBDCEE03}"/>
            </a:ext>
          </a:extLst>
        </xdr:cNvPr>
        <xdr:cNvSpPr txBox="1"/>
      </xdr:nvSpPr>
      <xdr:spPr>
        <a:xfrm>
          <a:off x="13334531" y="6770488"/>
          <a:ext cx="3768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47423</xdr:colOff>
      <xdr:row>16</xdr:row>
      <xdr:rowOff>114252</xdr:rowOff>
    </xdr:from>
    <xdr:ext cx="224998" cy="36195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6840261-585D-4E97-BD6A-6907C6246316}"/>
            </a:ext>
          </a:extLst>
        </xdr:cNvPr>
        <xdr:cNvSpPr txBox="1"/>
      </xdr:nvSpPr>
      <xdr:spPr>
        <a:xfrm rot="16200000">
          <a:off x="4779542" y="3840333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41560</xdr:colOff>
      <xdr:row>17</xdr:row>
      <xdr:rowOff>108830</xdr:rowOff>
    </xdr:from>
    <xdr:ext cx="285527" cy="71141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02E824A-A96B-406E-BFD0-FAB1D7A6E889}"/>
            </a:ext>
          </a:extLst>
        </xdr:cNvPr>
        <xdr:cNvSpPr txBox="1"/>
      </xdr:nvSpPr>
      <xdr:spPr>
        <a:xfrm rot="17160000">
          <a:off x="5761024" y="4200654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23</xdr:col>
      <xdr:colOff>3801</xdr:colOff>
      <xdr:row>22</xdr:row>
      <xdr:rowOff>54569</xdr:rowOff>
    </xdr:from>
    <xdr:ext cx="349135" cy="22499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538BF10-9277-4B66-855A-13D5059D0D05}"/>
            </a:ext>
          </a:extLst>
        </xdr:cNvPr>
        <xdr:cNvSpPr txBox="1"/>
      </xdr:nvSpPr>
      <xdr:spPr>
        <a:xfrm>
          <a:off x="5261601" y="508376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128735</xdr:colOff>
      <xdr:row>9</xdr:row>
      <xdr:rowOff>117786</xdr:rowOff>
    </xdr:from>
    <xdr:ext cx="336311" cy="2249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348E5238-362F-422D-A129-6AACC097E4F5}"/>
            </a:ext>
          </a:extLst>
        </xdr:cNvPr>
        <xdr:cNvSpPr txBox="1"/>
      </xdr:nvSpPr>
      <xdr:spPr>
        <a:xfrm>
          <a:off x="6072335" y="2175186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107623</xdr:colOff>
      <xdr:row>10</xdr:row>
      <xdr:rowOff>88913</xdr:rowOff>
    </xdr:from>
    <xdr:to>
      <xdr:col>28</xdr:col>
      <xdr:colOff>107623</xdr:colOff>
      <xdr:row>11</xdr:row>
      <xdr:rowOff>22312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A6E6BD2F-BA63-47D6-9A7E-5BB43A57CD54}"/>
            </a:ext>
          </a:extLst>
        </xdr:cNvPr>
        <xdr:cNvCxnSpPr/>
      </xdr:nvCxnSpPr>
      <xdr:spPr>
        <a:xfrm>
          <a:off x="6508423" y="2374913"/>
          <a:ext cx="0" cy="16199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154817</xdr:colOff>
      <xdr:row>12</xdr:row>
      <xdr:rowOff>22412</xdr:rowOff>
    </xdr:from>
    <xdr:to>
      <xdr:col>34</xdr:col>
      <xdr:colOff>67195</xdr:colOff>
      <xdr:row>21</xdr:row>
      <xdr:rowOff>122762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E5A0561-F142-4BE0-AF3B-0954BBD21981}"/>
            </a:ext>
          </a:extLst>
        </xdr:cNvPr>
        <xdr:cNvCxnSpPr/>
      </xdr:nvCxnSpPr>
      <xdr:spPr>
        <a:xfrm flipV="1">
          <a:off x="5869817" y="2765612"/>
          <a:ext cx="1969778" cy="215775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113420</xdr:colOff>
      <xdr:row>12</xdr:row>
      <xdr:rowOff>8668</xdr:rowOff>
    </xdr:from>
    <xdr:to>
      <xdr:col>34</xdr:col>
      <xdr:colOff>43538</xdr:colOff>
      <xdr:row>12</xdr:row>
      <xdr:rowOff>8668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1A2B95E4-316A-4E9E-89BA-707B06F20D98}"/>
            </a:ext>
          </a:extLst>
        </xdr:cNvPr>
        <xdr:cNvCxnSpPr/>
      </xdr:nvCxnSpPr>
      <xdr:spPr>
        <a:xfrm>
          <a:off x="6514220" y="2751868"/>
          <a:ext cx="130171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222502</xdr:colOff>
      <xdr:row>9</xdr:row>
      <xdr:rowOff>117786</xdr:rowOff>
    </xdr:from>
    <xdr:ext cx="309700" cy="22499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330982C-AA23-459A-AC19-A9ED49A012D1}"/>
            </a:ext>
          </a:extLst>
        </xdr:cNvPr>
        <xdr:cNvSpPr txBox="1"/>
      </xdr:nvSpPr>
      <xdr:spPr>
        <a:xfrm>
          <a:off x="6851902" y="2175186"/>
          <a:ext cx="30970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96783</xdr:colOff>
      <xdr:row>20</xdr:row>
      <xdr:rowOff>218153</xdr:rowOff>
    </xdr:from>
    <xdr:to>
      <xdr:col>26</xdr:col>
      <xdr:colOff>104291</xdr:colOff>
      <xdr:row>21</xdr:row>
      <xdr:rowOff>213381</xdr:rowOff>
    </xdr:to>
    <xdr:sp macro="" textlink="">
      <xdr:nvSpPr>
        <xdr:cNvPr id="12" name="円弧 11">
          <a:extLst>
            <a:ext uri="{FF2B5EF4-FFF2-40B4-BE49-F238E27FC236}">
              <a16:creationId xmlns:a16="http://schemas.microsoft.com/office/drawing/2014/main" id="{1E047DBF-9685-4DD6-983E-2067D096335F}"/>
            </a:ext>
          </a:extLst>
        </xdr:cNvPr>
        <xdr:cNvSpPr/>
      </xdr:nvSpPr>
      <xdr:spPr>
        <a:xfrm rot="1800000">
          <a:off x="5811783" y="4790153"/>
          <a:ext cx="236108" cy="223828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25</xdr:col>
      <xdr:colOff>159472</xdr:colOff>
      <xdr:row>21</xdr:row>
      <xdr:rowOff>120926</xdr:rowOff>
    </xdr:from>
    <xdr:to>
      <xdr:col>33</xdr:col>
      <xdr:colOff>5328</xdr:colOff>
      <xdr:row>21</xdr:row>
      <xdr:rowOff>120926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E7EAD163-2845-433C-8046-B7E632221134}"/>
            </a:ext>
          </a:extLst>
        </xdr:cNvPr>
        <xdr:cNvCxnSpPr/>
      </xdr:nvCxnSpPr>
      <xdr:spPr>
        <a:xfrm>
          <a:off x="5887794" y="4932716"/>
          <a:ext cx="1678919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46294</xdr:colOff>
      <xdr:row>20</xdr:row>
      <xdr:rowOff>122578</xdr:rowOff>
    </xdr:from>
    <xdr:ext cx="300082" cy="242374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7DB59FE-4E55-428E-8E49-B0F8B03552B4}"/>
            </a:ext>
          </a:extLst>
        </xdr:cNvPr>
        <xdr:cNvSpPr txBox="1"/>
      </xdr:nvSpPr>
      <xdr:spPr>
        <a:xfrm>
          <a:off x="6003749" y="4705235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192693</xdr:colOff>
      <xdr:row>13</xdr:row>
      <xdr:rowOff>5602</xdr:rowOff>
    </xdr:from>
    <xdr:to>
      <xdr:col>28</xdr:col>
      <xdr:colOff>197927</xdr:colOff>
      <xdr:row>14</xdr:row>
      <xdr:rowOff>1744</xdr:rowOff>
    </xdr:to>
    <xdr:sp macro="" textlink="">
      <xdr:nvSpPr>
        <xdr:cNvPr id="15" name="円弧 14">
          <a:extLst>
            <a:ext uri="{FF2B5EF4-FFF2-40B4-BE49-F238E27FC236}">
              <a16:creationId xmlns:a16="http://schemas.microsoft.com/office/drawing/2014/main" id="{8C539E45-BE76-4B2F-A2D0-E47FF9182D1A}"/>
            </a:ext>
          </a:extLst>
        </xdr:cNvPr>
        <xdr:cNvSpPr/>
      </xdr:nvSpPr>
      <xdr:spPr>
        <a:xfrm rot="9761260">
          <a:off x="6364893" y="2977402"/>
          <a:ext cx="233834" cy="224742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28</xdr:col>
      <xdr:colOff>112406</xdr:colOff>
      <xdr:row>12</xdr:row>
      <xdr:rowOff>9495</xdr:rowOff>
    </xdr:from>
    <xdr:to>
      <xdr:col>28</xdr:col>
      <xdr:colOff>112406</xdr:colOff>
      <xdr:row>14</xdr:row>
      <xdr:rowOff>212518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E05A3B03-36E0-4870-880D-C24D6A0636CA}"/>
            </a:ext>
          </a:extLst>
        </xdr:cNvPr>
        <xdr:cNvCxnSpPr/>
      </xdr:nvCxnSpPr>
      <xdr:spPr>
        <a:xfrm>
          <a:off x="6513206" y="2752695"/>
          <a:ext cx="0" cy="660223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109205</xdr:colOff>
      <xdr:row>13</xdr:row>
      <xdr:rowOff>167779</xdr:rowOff>
    </xdr:from>
    <xdr:ext cx="300082" cy="24237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73C656E-33C0-4650-98C5-CE5729DDE1E2}"/>
            </a:ext>
          </a:extLst>
        </xdr:cNvPr>
        <xdr:cNvSpPr txBox="1"/>
      </xdr:nvSpPr>
      <xdr:spPr>
        <a:xfrm>
          <a:off x="6281405" y="3139579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105141</xdr:colOff>
      <xdr:row>10</xdr:row>
      <xdr:rowOff>133235</xdr:rowOff>
    </xdr:from>
    <xdr:to>
      <xdr:col>34</xdr:col>
      <xdr:colOff>57807</xdr:colOff>
      <xdr:row>10</xdr:row>
      <xdr:rowOff>133235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9BB754BF-23B9-466E-87A4-26D33C54C903}"/>
            </a:ext>
          </a:extLst>
        </xdr:cNvPr>
        <xdr:cNvCxnSpPr/>
      </xdr:nvCxnSpPr>
      <xdr:spPr>
        <a:xfrm>
          <a:off x="6546198" y="2433612"/>
          <a:ext cx="133289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34</xdr:col>
      <xdr:colOff>57166</xdr:colOff>
      <xdr:row>10</xdr:row>
      <xdr:rowOff>88913</xdr:rowOff>
    </xdr:from>
    <xdr:to>
      <xdr:col>34</xdr:col>
      <xdr:colOff>57166</xdr:colOff>
      <xdr:row>11</xdr:row>
      <xdr:rowOff>22312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A5F60552-C755-4D3D-B3CD-E28D1D068279}"/>
            </a:ext>
          </a:extLst>
        </xdr:cNvPr>
        <xdr:cNvCxnSpPr/>
      </xdr:nvCxnSpPr>
      <xdr:spPr>
        <a:xfrm>
          <a:off x="7829566" y="2374913"/>
          <a:ext cx="0" cy="16199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219167</xdr:colOff>
      <xdr:row>12</xdr:row>
      <xdr:rowOff>131161</xdr:rowOff>
    </xdr:from>
    <xdr:to>
      <xdr:col>29</xdr:col>
      <xdr:colOff>219167</xdr:colOff>
      <xdr:row>15</xdr:row>
      <xdr:rowOff>24949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8ADACB8-7073-48F2-A49B-9D31ABB8C537}"/>
            </a:ext>
          </a:extLst>
        </xdr:cNvPr>
        <xdr:cNvCxnSpPr/>
      </xdr:nvCxnSpPr>
      <xdr:spPr>
        <a:xfrm>
          <a:off x="6812925" y="2859613"/>
          <a:ext cx="0" cy="57590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151525</xdr:colOff>
      <xdr:row>12</xdr:row>
      <xdr:rowOff>142940</xdr:rowOff>
    </xdr:from>
    <xdr:ext cx="309637" cy="224998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44717F1-F6AD-4A59-B1A9-DCB8FDCB216D}"/>
            </a:ext>
          </a:extLst>
        </xdr:cNvPr>
        <xdr:cNvSpPr txBox="1"/>
      </xdr:nvSpPr>
      <xdr:spPr>
        <a:xfrm>
          <a:off x="6745283" y="2871392"/>
          <a:ext cx="309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81242</xdr:colOff>
      <xdr:row>17</xdr:row>
      <xdr:rowOff>193024</xdr:rowOff>
    </xdr:from>
    <xdr:to>
      <xdr:col>31</xdr:col>
      <xdr:colOff>66708</xdr:colOff>
      <xdr:row>17</xdr:row>
      <xdr:rowOff>193024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BC4DA569-7EB8-4FCD-8716-0AE57EAE3562}"/>
            </a:ext>
          </a:extLst>
        </xdr:cNvPr>
        <xdr:cNvCxnSpPr/>
      </xdr:nvCxnSpPr>
      <xdr:spPr>
        <a:xfrm rot="2460000">
          <a:off x="6710642" y="4079224"/>
          <a:ext cx="442666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36</xdr:colOff>
      <xdr:row>17</xdr:row>
      <xdr:rowOff>37203</xdr:rowOff>
    </xdr:from>
    <xdr:to>
      <xdr:col>30</xdr:col>
      <xdr:colOff>36</xdr:colOff>
      <xdr:row>19</xdr:row>
      <xdr:rowOff>152945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C2E620AA-3604-476B-99AC-3A4E0A046BCD}"/>
            </a:ext>
          </a:extLst>
        </xdr:cNvPr>
        <xdr:cNvCxnSpPr/>
      </xdr:nvCxnSpPr>
      <xdr:spPr>
        <a:xfrm rot="4260000">
          <a:off x="6571565" y="4209874"/>
          <a:ext cx="572942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82485</xdr:colOff>
      <xdr:row>17</xdr:row>
      <xdr:rowOff>68631</xdr:rowOff>
    </xdr:from>
    <xdr:to>
      <xdr:col>30</xdr:col>
      <xdr:colOff>84904</xdr:colOff>
      <xdr:row>18</xdr:row>
      <xdr:rowOff>66670</xdr:rowOff>
    </xdr:to>
    <xdr:sp macro="" textlink="">
      <xdr:nvSpPr>
        <xdr:cNvPr id="24" name="円弧 23">
          <a:extLst>
            <a:ext uri="{FF2B5EF4-FFF2-40B4-BE49-F238E27FC236}">
              <a16:creationId xmlns:a16="http://schemas.microsoft.com/office/drawing/2014/main" id="{11CBB1E2-3F91-4A94-9E67-66B3CB371A80}"/>
            </a:ext>
          </a:extLst>
        </xdr:cNvPr>
        <xdr:cNvSpPr/>
      </xdr:nvSpPr>
      <xdr:spPr>
        <a:xfrm rot="5940764">
          <a:off x="6714075" y="3952641"/>
          <a:ext cx="226639" cy="231019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29</xdr:col>
      <xdr:colOff>212302</xdr:colOff>
      <xdr:row>18</xdr:row>
      <xdr:rowOff>34694</xdr:rowOff>
    </xdr:from>
    <xdr:ext cx="300082" cy="24237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C95C80C6-F7B6-4BE5-811F-3366CD765DF2}"/>
            </a:ext>
          </a:extLst>
        </xdr:cNvPr>
        <xdr:cNvSpPr txBox="1"/>
      </xdr:nvSpPr>
      <xdr:spPr>
        <a:xfrm>
          <a:off x="6841702" y="4149494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210880</xdr:colOff>
      <xdr:row>18</xdr:row>
      <xdr:rowOff>27198</xdr:rowOff>
    </xdr:from>
    <xdr:to>
      <xdr:col>26</xdr:col>
      <xdr:colOff>177392</xdr:colOff>
      <xdr:row>18</xdr:row>
      <xdr:rowOff>27198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2D9A600F-35B9-4C03-9CD9-CE4FB91FB4F0}"/>
            </a:ext>
          </a:extLst>
        </xdr:cNvPr>
        <xdr:cNvCxnSpPr/>
      </xdr:nvCxnSpPr>
      <xdr:spPr>
        <a:xfrm rot="5160000">
          <a:off x="6023436" y="4044442"/>
          <a:ext cx="0" cy="195112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168659</xdr:colOff>
      <xdr:row>17</xdr:row>
      <xdr:rowOff>187675</xdr:rowOff>
    </xdr:from>
    <xdr:to>
      <xdr:col>26</xdr:col>
      <xdr:colOff>172884</xdr:colOff>
      <xdr:row>18</xdr:row>
      <xdr:rowOff>16550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92F01E4F-BCDF-44A0-9781-DDE5A2691B63}"/>
            </a:ext>
          </a:extLst>
        </xdr:cNvPr>
        <xdr:cNvCxnSpPr/>
      </xdr:nvCxnSpPr>
      <xdr:spPr>
        <a:xfrm>
          <a:off x="5883659" y="4073875"/>
          <a:ext cx="232825" cy="57475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157803</xdr:colOff>
      <xdr:row>16</xdr:row>
      <xdr:rowOff>139553</xdr:rowOff>
    </xdr:from>
    <xdr:ext cx="300082" cy="24237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909D60D-91BC-40A5-BD92-4DBBBC179C3E}"/>
            </a:ext>
          </a:extLst>
        </xdr:cNvPr>
        <xdr:cNvSpPr txBox="1"/>
      </xdr:nvSpPr>
      <xdr:spPr>
        <a:xfrm>
          <a:off x="5872803" y="3797153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6385</xdr:colOff>
      <xdr:row>17</xdr:row>
      <xdr:rowOff>157560</xdr:rowOff>
    </xdr:from>
    <xdr:to>
      <xdr:col>27</xdr:col>
      <xdr:colOff>32030</xdr:colOff>
      <xdr:row>18</xdr:row>
      <xdr:rowOff>150138</xdr:rowOff>
    </xdr:to>
    <xdr:sp macro="" textlink="">
      <xdr:nvSpPr>
        <xdr:cNvPr id="29" name="円弧 28">
          <a:extLst>
            <a:ext uri="{FF2B5EF4-FFF2-40B4-BE49-F238E27FC236}">
              <a16:creationId xmlns:a16="http://schemas.microsoft.com/office/drawing/2014/main" id="{2155C9DC-C89A-4D2F-A738-9054AA28825C}"/>
            </a:ext>
          </a:extLst>
        </xdr:cNvPr>
        <xdr:cNvSpPr/>
      </xdr:nvSpPr>
      <xdr:spPr>
        <a:xfrm rot="11882846">
          <a:off x="5949985" y="4043760"/>
          <a:ext cx="254245" cy="221178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26</xdr:col>
      <xdr:colOff>11639</xdr:colOff>
      <xdr:row>17</xdr:row>
      <xdr:rowOff>92370</xdr:rowOff>
    </xdr:from>
    <xdr:to>
      <xdr:col>27</xdr:col>
      <xdr:colOff>17772</xdr:colOff>
      <xdr:row>18</xdr:row>
      <xdr:rowOff>97509</xdr:rowOff>
    </xdr:to>
    <xdr:sp macro="" textlink="">
      <xdr:nvSpPr>
        <xdr:cNvPr id="30" name="円弧 29">
          <a:extLst>
            <a:ext uri="{FF2B5EF4-FFF2-40B4-BE49-F238E27FC236}">
              <a16:creationId xmlns:a16="http://schemas.microsoft.com/office/drawing/2014/main" id="{CADB84A8-9F79-4ADF-B231-919F03F56512}"/>
            </a:ext>
          </a:extLst>
        </xdr:cNvPr>
        <xdr:cNvSpPr/>
      </xdr:nvSpPr>
      <xdr:spPr>
        <a:xfrm rot="16419954">
          <a:off x="5955736" y="3978073"/>
          <a:ext cx="233739" cy="234733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25</xdr:col>
      <xdr:colOff>26390</xdr:colOff>
      <xdr:row>17</xdr:row>
      <xdr:rowOff>194134</xdr:rowOff>
    </xdr:from>
    <xdr:ext cx="255198" cy="224998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2F6EB3BC-0AE5-453B-B5A0-95D21DD0E8C4}"/>
            </a:ext>
          </a:extLst>
        </xdr:cNvPr>
        <xdr:cNvSpPr txBox="1"/>
      </xdr:nvSpPr>
      <xdr:spPr>
        <a:xfrm>
          <a:off x="5741390" y="4080334"/>
          <a:ext cx="25519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178972</xdr:colOff>
      <xdr:row>17</xdr:row>
      <xdr:rowOff>3501</xdr:rowOff>
    </xdr:from>
    <xdr:to>
      <xdr:col>30</xdr:col>
      <xdr:colOff>4329</xdr:colOff>
      <xdr:row>17</xdr:row>
      <xdr:rowOff>48850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EF9E00BE-7713-42E8-A58F-FDC1772D9882}"/>
            </a:ext>
          </a:extLst>
        </xdr:cNvPr>
        <xdr:cNvCxnSpPr/>
      </xdr:nvCxnSpPr>
      <xdr:spPr>
        <a:xfrm>
          <a:off x="6808372" y="3889701"/>
          <a:ext cx="53957" cy="45349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192991</xdr:colOff>
      <xdr:row>17</xdr:row>
      <xdr:rowOff>51954</xdr:rowOff>
    </xdr:from>
    <xdr:to>
      <xdr:col>29</xdr:col>
      <xdr:colOff>225390</xdr:colOff>
      <xdr:row>17</xdr:row>
      <xdr:rowOff>87874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F9A88657-E3F5-4E09-B9DC-1D75EEE22CC9}"/>
            </a:ext>
          </a:extLst>
        </xdr:cNvPr>
        <xdr:cNvCxnSpPr/>
      </xdr:nvCxnSpPr>
      <xdr:spPr>
        <a:xfrm flipH="1">
          <a:off x="6822391" y="3938154"/>
          <a:ext cx="32399" cy="35920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126698</xdr:colOff>
      <xdr:row>17</xdr:row>
      <xdr:rowOff>170410</xdr:rowOff>
    </xdr:from>
    <xdr:to>
      <xdr:col>26</xdr:col>
      <xdr:colOff>190839</xdr:colOff>
      <xdr:row>17</xdr:row>
      <xdr:rowOff>191543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51455F88-0563-45CC-8AAB-26AE12B8F286}"/>
            </a:ext>
          </a:extLst>
        </xdr:cNvPr>
        <xdr:cNvCxnSpPr/>
      </xdr:nvCxnSpPr>
      <xdr:spPr>
        <a:xfrm>
          <a:off x="6070298" y="4056610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109773</xdr:colOff>
      <xdr:row>17</xdr:row>
      <xdr:rowOff>170487</xdr:rowOff>
    </xdr:from>
    <xdr:to>
      <xdr:col>26</xdr:col>
      <xdr:colOff>127170</xdr:colOff>
      <xdr:row>18</xdr:row>
      <xdr:rowOff>84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B202DF1D-210F-47D4-A32E-6EEC8729DD30}"/>
            </a:ext>
          </a:extLst>
        </xdr:cNvPr>
        <xdr:cNvCxnSpPr/>
      </xdr:nvCxnSpPr>
      <xdr:spPr>
        <a:xfrm flipH="1">
          <a:off x="6053373" y="4056687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122620</xdr:colOff>
      <xdr:row>11</xdr:row>
      <xdr:rowOff>86559</xdr:rowOff>
    </xdr:from>
    <xdr:to>
      <xdr:col>28</xdr:col>
      <xdr:colOff>124016</xdr:colOff>
      <xdr:row>12</xdr:row>
      <xdr:rowOff>2872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07AF8D4C-C841-4AE5-A50A-63DCA0CF0462}"/>
            </a:ext>
          </a:extLst>
        </xdr:cNvPr>
        <xdr:cNvCxnSpPr/>
      </xdr:nvCxnSpPr>
      <xdr:spPr>
        <a:xfrm flipH="1">
          <a:off x="65234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949</xdr:colOff>
      <xdr:row>11</xdr:row>
      <xdr:rowOff>86559</xdr:rowOff>
    </xdr:from>
    <xdr:to>
      <xdr:col>29</xdr:col>
      <xdr:colOff>2345</xdr:colOff>
      <xdr:row>12</xdr:row>
      <xdr:rowOff>2872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68988CD8-CD65-40EB-A26C-6242B4186EAB}"/>
            </a:ext>
          </a:extLst>
        </xdr:cNvPr>
        <xdr:cNvCxnSpPr/>
      </xdr:nvCxnSpPr>
      <xdr:spPr>
        <a:xfrm flipH="1">
          <a:off x="6630349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103120</xdr:colOff>
      <xdr:row>11</xdr:row>
      <xdr:rowOff>86559</xdr:rowOff>
    </xdr:from>
    <xdr:to>
      <xdr:col>29</xdr:col>
      <xdr:colOff>104516</xdr:colOff>
      <xdr:row>12</xdr:row>
      <xdr:rowOff>2872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5377958E-545F-45E6-829A-A5D342F67388}"/>
            </a:ext>
          </a:extLst>
        </xdr:cNvPr>
        <xdr:cNvCxnSpPr/>
      </xdr:nvCxnSpPr>
      <xdr:spPr>
        <a:xfrm flipH="1">
          <a:off x="67325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215620</xdr:colOff>
      <xdr:row>11</xdr:row>
      <xdr:rowOff>86559</xdr:rowOff>
    </xdr:from>
    <xdr:to>
      <xdr:col>29</xdr:col>
      <xdr:colOff>217016</xdr:colOff>
      <xdr:row>12</xdr:row>
      <xdr:rowOff>2872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EADE0F9F-5A20-431A-B40B-7FBCD6F9C250}"/>
            </a:ext>
          </a:extLst>
        </xdr:cNvPr>
        <xdr:cNvCxnSpPr/>
      </xdr:nvCxnSpPr>
      <xdr:spPr>
        <a:xfrm flipH="1">
          <a:off x="68450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92730</xdr:colOff>
      <xdr:row>11</xdr:row>
      <xdr:rowOff>86559</xdr:rowOff>
    </xdr:from>
    <xdr:to>
      <xdr:col>30</xdr:col>
      <xdr:colOff>94126</xdr:colOff>
      <xdr:row>12</xdr:row>
      <xdr:rowOff>2872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E030D9D-A7E0-4C06-AFE4-76BBBC2AE906}"/>
            </a:ext>
          </a:extLst>
        </xdr:cNvPr>
        <xdr:cNvCxnSpPr/>
      </xdr:nvCxnSpPr>
      <xdr:spPr>
        <a:xfrm flipH="1">
          <a:off x="695073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189192</xdr:colOff>
      <xdr:row>11</xdr:row>
      <xdr:rowOff>86559</xdr:rowOff>
    </xdr:from>
    <xdr:to>
      <xdr:col>30</xdr:col>
      <xdr:colOff>190588</xdr:colOff>
      <xdr:row>12</xdr:row>
      <xdr:rowOff>2872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4A926107-E74B-4A47-A825-8E1D5E7F9FB6}"/>
            </a:ext>
          </a:extLst>
        </xdr:cNvPr>
        <xdr:cNvCxnSpPr/>
      </xdr:nvCxnSpPr>
      <xdr:spPr>
        <a:xfrm flipH="1">
          <a:off x="7047192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61376</xdr:colOff>
      <xdr:row>11</xdr:row>
      <xdr:rowOff>86559</xdr:rowOff>
    </xdr:from>
    <xdr:to>
      <xdr:col>31</xdr:col>
      <xdr:colOff>62772</xdr:colOff>
      <xdr:row>12</xdr:row>
      <xdr:rowOff>2872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5E895B1D-BB13-4567-BECA-C3EDD225BF74}"/>
            </a:ext>
          </a:extLst>
        </xdr:cNvPr>
        <xdr:cNvCxnSpPr/>
      </xdr:nvCxnSpPr>
      <xdr:spPr>
        <a:xfrm flipH="1">
          <a:off x="714797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170916</xdr:colOff>
      <xdr:row>11</xdr:row>
      <xdr:rowOff>86559</xdr:rowOff>
    </xdr:from>
    <xdr:to>
      <xdr:col>31</xdr:col>
      <xdr:colOff>172312</xdr:colOff>
      <xdr:row>12</xdr:row>
      <xdr:rowOff>2872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EC7CE059-CEED-421E-B5E4-1B14BC76BFEE}"/>
            </a:ext>
          </a:extLst>
        </xdr:cNvPr>
        <xdr:cNvCxnSpPr/>
      </xdr:nvCxnSpPr>
      <xdr:spPr>
        <a:xfrm flipH="1">
          <a:off x="725751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40438</xdr:colOff>
      <xdr:row>11</xdr:row>
      <xdr:rowOff>86559</xdr:rowOff>
    </xdr:from>
    <xdr:to>
      <xdr:col>32</xdr:col>
      <xdr:colOff>41834</xdr:colOff>
      <xdr:row>12</xdr:row>
      <xdr:rowOff>2872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6860AAA-277A-45F2-9700-3502534A28D8}"/>
            </a:ext>
          </a:extLst>
        </xdr:cNvPr>
        <xdr:cNvCxnSpPr/>
      </xdr:nvCxnSpPr>
      <xdr:spPr>
        <a:xfrm flipH="1">
          <a:off x="7355638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152504</xdr:colOff>
      <xdr:row>11</xdr:row>
      <xdr:rowOff>86559</xdr:rowOff>
    </xdr:from>
    <xdr:to>
      <xdr:col>32</xdr:col>
      <xdr:colOff>153900</xdr:colOff>
      <xdr:row>12</xdr:row>
      <xdr:rowOff>2872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746CE114-1FEB-437D-BD74-855D21EBA788}"/>
            </a:ext>
          </a:extLst>
        </xdr:cNvPr>
        <xdr:cNvCxnSpPr/>
      </xdr:nvCxnSpPr>
      <xdr:spPr>
        <a:xfrm flipH="1">
          <a:off x="7467704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33</xdr:col>
      <xdr:colOff>45470</xdr:colOff>
      <xdr:row>11</xdr:row>
      <xdr:rowOff>86559</xdr:rowOff>
    </xdr:from>
    <xdr:to>
      <xdr:col>33</xdr:col>
      <xdr:colOff>46866</xdr:colOff>
      <xdr:row>12</xdr:row>
      <xdr:rowOff>2872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84070D06-159A-418D-A8F8-605C49BEF3AE}"/>
            </a:ext>
          </a:extLst>
        </xdr:cNvPr>
        <xdr:cNvCxnSpPr/>
      </xdr:nvCxnSpPr>
      <xdr:spPr>
        <a:xfrm flipH="1">
          <a:off x="758927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34</xdr:col>
      <xdr:colOff>16684</xdr:colOff>
      <xdr:row>10</xdr:row>
      <xdr:rowOff>148353</xdr:rowOff>
    </xdr:from>
    <xdr:ext cx="271228" cy="224998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C3CC8BF4-A7A1-4BE7-B4AF-FAD4211F140A}"/>
            </a:ext>
          </a:extLst>
        </xdr:cNvPr>
        <xdr:cNvSpPr txBox="1"/>
      </xdr:nvSpPr>
      <xdr:spPr>
        <a:xfrm>
          <a:off x="7789084" y="2434353"/>
          <a:ext cx="27122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33</xdr:col>
      <xdr:colOff>160356</xdr:colOff>
      <xdr:row>11</xdr:row>
      <xdr:rowOff>86559</xdr:rowOff>
    </xdr:from>
    <xdr:to>
      <xdr:col>33</xdr:col>
      <xdr:colOff>161752</xdr:colOff>
      <xdr:row>12</xdr:row>
      <xdr:rowOff>2872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A744E14D-A665-4F8C-985F-BDF68C6B95DB}"/>
            </a:ext>
          </a:extLst>
        </xdr:cNvPr>
        <xdr:cNvCxnSpPr/>
      </xdr:nvCxnSpPr>
      <xdr:spPr>
        <a:xfrm flipH="1">
          <a:off x="770415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34</xdr:col>
      <xdr:colOff>45471</xdr:colOff>
      <xdr:row>11</xdr:row>
      <xdr:rowOff>86559</xdr:rowOff>
    </xdr:from>
    <xdr:to>
      <xdr:col>34</xdr:col>
      <xdr:colOff>46867</xdr:colOff>
      <xdr:row>12</xdr:row>
      <xdr:rowOff>2872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45BDF0B0-E2E7-44AB-9B0D-AB20F382ECC2}"/>
            </a:ext>
          </a:extLst>
        </xdr:cNvPr>
        <xdr:cNvCxnSpPr/>
      </xdr:nvCxnSpPr>
      <xdr:spPr>
        <a:xfrm flipH="1">
          <a:off x="7817871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99</xdr:col>
      <xdr:colOff>173962</xdr:colOff>
      <xdr:row>18</xdr:row>
      <xdr:rowOff>101803</xdr:rowOff>
    </xdr:from>
    <xdr:ext cx="349135" cy="224998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2D8AC4D8-9919-40BF-8190-3DF7143ED770}"/>
            </a:ext>
          </a:extLst>
        </xdr:cNvPr>
        <xdr:cNvSpPr txBox="1"/>
      </xdr:nvSpPr>
      <xdr:spPr>
        <a:xfrm>
          <a:off x="15032962" y="4216603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93</xdr:col>
      <xdr:colOff>191194</xdr:colOff>
      <xdr:row>24</xdr:row>
      <xdr:rowOff>178653</xdr:rowOff>
    </xdr:from>
    <xdr:ext cx="386644" cy="224998"/>
    <xdr:sp macro="" textlink="$CH$25">
      <xdr:nvSpPr>
        <xdr:cNvPr id="51" name="テキスト ボックス 50">
          <a:extLst>
            <a:ext uri="{FF2B5EF4-FFF2-40B4-BE49-F238E27FC236}">
              <a16:creationId xmlns:a16="http://schemas.microsoft.com/office/drawing/2014/main" id="{CA31A156-1058-4750-AE8A-5C4641813DB4}"/>
            </a:ext>
          </a:extLst>
        </xdr:cNvPr>
        <xdr:cNvSpPr txBox="1"/>
      </xdr:nvSpPr>
      <xdr:spPr>
        <a:xfrm>
          <a:off x="13678594" y="5665053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F3110B6-FA30-4232-9349-ED216DCF0FB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23.3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92</xdr:col>
      <xdr:colOff>202687</xdr:colOff>
      <xdr:row>26</xdr:row>
      <xdr:rowOff>32159</xdr:rowOff>
    </xdr:from>
    <xdr:ext cx="249748" cy="224998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A59D83B0-F54A-480A-8EA0-F0F003A16403}"/>
            </a:ext>
          </a:extLst>
        </xdr:cNvPr>
        <xdr:cNvSpPr txBox="1"/>
      </xdr:nvSpPr>
      <xdr:spPr>
        <a:xfrm>
          <a:off x="13461487" y="5975759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105614</xdr:colOff>
      <xdr:row>25</xdr:row>
      <xdr:rowOff>108537</xdr:rowOff>
    </xdr:from>
    <xdr:to>
      <xdr:col>95</xdr:col>
      <xdr:colOff>105614</xdr:colOff>
      <xdr:row>25</xdr:row>
      <xdr:rowOff>219906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60A895EE-A3FF-455C-88CA-6C03067567A0}"/>
            </a:ext>
          </a:extLst>
        </xdr:cNvPr>
        <xdr:cNvCxnSpPr/>
      </xdr:nvCxnSpPr>
      <xdr:spPr>
        <a:xfrm>
          <a:off x="14050214" y="5823537"/>
          <a:ext cx="0" cy="111369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122148</xdr:colOff>
      <xdr:row>26</xdr:row>
      <xdr:rowOff>83567</xdr:rowOff>
    </xdr:from>
    <xdr:ext cx="502061" cy="224998"/>
    <xdr:sp macro="" textlink="$BX$21">
      <xdr:nvSpPr>
        <xdr:cNvPr id="54" name="テキスト ボックス 53">
          <a:extLst>
            <a:ext uri="{FF2B5EF4-FFF2-40B4-BE49-F238E27FC236}">
              <a16:creationId xmlns:a16="http://schemas.microsoft.com/office/drawing/2014/main" id="{BCD2ECEA-22BE-452C-9D3B-5229B2FE89DC}"/>
            </a:ext>
          </a:extLst>
        </xdr:cNvPr>
        <xdr:cNvSpPr txBox="1"/>
      </xdr:nvSpPr>
      <xdr:spPr>
        <a:xfrm>
          <a:off x="21600500" y="5961853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7A8657D-F4A5-4417-A965-787BEEFACFF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41.224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7730</xdr:colOff>
      <xdr:row>24</xdr:row>
      <xdr:rowOff>164450</xdr:rowOff>
    </xdr:from>
    <xdr:ext cx="444352" cy="224998"/>
    <xdr:sp macro="" textlink="$BX$26">
      <xdr:nvSpPr>
        <xdr:cNvPr id="55" name="テキスト ボックス 54">
          <a:extLst>
            <a:ext uri="{FF2B5EF4-FFF2-40B4-BE49-F238E27FC236}">
              <a16:creationId xmlns:a16="http://schemas.microsoft.com/office/drawing/2014/main" id="{E4DDC554-DFE7-4F08-B3F4-E86261B06504}"/>
            </a:ext>
          </a:extLst>
        </xdr:cNvPr>
        <xdr:cNvSpPr txBox="1"/>
      </xdr:nvSpPr>
      <xdr:spPr>
        <a:xfrm>
          <a:off x="14180930" y="565085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340B5C-E1A5-4CA7-AAE1-6121FABE60A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1.103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121373</xdr:colOff>
      <xdr:row>25</xdr:row>
      <xdr:rowOff>201440</xdr:rowOff>
    </xdr:from>
    <xdr:ext cx="310791" cy="224998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6B9CAEEA-63D5-4D07-98AE-B54FBDCD57DB}"/>
            </a:ext>
          </a:extLst>
        </xdr:cNvPr>
        <xdr:cNvSpPr txBox="1"/>
      </xdr:nvSpPr>
      <xdr:spPr>
        <a:xfrm>
          <a:off x="14065973" y="5916440"/>
          <a:ext cx="31079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110432</xdr:colOff>
      <xdr:row>25</xdr:row>
      <xdr:rowOff>221606</xdr:rowOff>
    </xdr:from>
    <xdr:to>
      <xdr:col>96</xdr:col>
      <xdr:colOff>103617</xdr:colOff>
      <xdr:row>25</xdr:row>
      <xdr:rowOff>221606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50C7A511-0C79-43F6-A3DE-29366343AC35}"/>
            </a:ext>
          </a:extLst>
        </xdr:cNvPr>
        <xdr:cNvCxnSpPr/>
      </xdr:nvCxnSpPr>
      <xdr:spPr>
        <a:xfrm>
          <a:off x="14055032" y="5936606"/>
          <a:ext cx="221785" cy="0"/>
        </a:xfrm>
        <a:prstGeom prst="line">
          <a:avLst/>
        </a:prstGeom>
        <a:ln w="28575">
          <a:solidFill>
            <a:srgbClr val="FF0000"/>
          </a:solidFill>
          <a:headEnd type="triangle" w="med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227498</xdr:colOff>
      <xdr:row>24</xdr:row>
      <xdr:rowOff>150368</xdr:rowOff>
    </xdr:from>
    <xdr:ext cx="302199" cy="224998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F28B37C9-A9F6-4919-B9FB-5466CDB203C7}"/>
            </a:ext>
          </a:extLst>
        </xdr:cNvPr>
        <xdr:cNvSpPr txBox="1"/>
      </xdr:nvSpPr>
      <xdr:spPr>
        <a:xfrm>
          <a:off x="13943498" y="5636768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30248</xdr:colOff>
      <xdr:row>22</xdr:row>
      <xdr:rowOff>60913</xdr:rowOff>
    </xdr:from>
    <xdr:ext cx="425053" cy="224998"/>
    <xdr:sp macro="" textlink="$Q$28">
      <xdr:nvSpPr>
        <xdr:cNvPr id="59" name="テキスト ボックス 58">
          <a:extLst>
            <a:ext uri="{FF2B5EF4-FFF2-40B4-BE49-F238E27FC236}">
              <a16:creationId xmlns:a16="http://schemas.microsoft.com/office/drawing/2014/main" id="{CC629786-49F3-481A-B7F1-D816CBD1D632}"/>
            </a:ext>
          </a:extLst>
        </xdr:cNvPr>
        <xdr:cNvSpPr txBox="1"/>
      </xdr:nvSpPr>
      <xdr:spPr>
        <a:xfrm>
          <a:off x="14203448" y="5090113"/>
          <a:ext cx="42505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D6FB568-2EE3-4049-9D90-505B5BF28D9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-21.8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126299</xdr:colOff>
      <xdr:row>18</xdr:row>
      <xdr:rowOff>114904</xdr:rowOff>
    </xdr:from>
    <xdr:ext cx="300082" cy="224998"/>
    <xdr:sp macro="" textlink="$BI$9">
      <xdr:nvSpPr>
        <xdr:cNvPr id="60" name="テキスト ボックス 59">
          <a:extLst>
            <a:ext uri="{FF2B5EF4-FFF2-40B4-BE49-F238E27FC236}">
              <a16:creationId xmlns:a16="http://schemas.microsoft.com/office/drawing/2014/main" id="{B6EB4F18-20DD-45DD-A1A4-525A65A1765C}"/>
            </a:ext>
          </a:extLst>
        </xdr:cNvPr>
        <xdr:cNvSpPr txBox="1"/>
      </xdr:nvSpPr>
      <xdr:spPr>
        <a:xfrm>
          <a:off x="22986299" y="4229704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1548C15-1C51-483B-92DB-9F11616FA5A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99</xdr:col>
      <xdr:colOff>620</xdr:colOff>
      <xdr:row>20</xdr:row>
      <xdr:rowOff>107707</xdr:rowOff>
    </xdr:from>
    <xdr:ext cx="559769" cy="224998"/>
    <xdr:sp macro="" textlink="$CV$9">
      <xdr:nvSpPr>
        <xdr:cNvPr id="61" name="テキスト ボックス 60">
          <a:extLst>
            <a:ext uri="{FF2B5EF4-FFF2-40B4-BE49-F238E27FC236}">
              <a16:creationId xmlns:a16="http://schemas.microsoft.com/office/drawing/2014/main" id="{A772B141-37C7-44ED-AC04-61810754081D}"/>
            </a:ext>
          </a:extLst>
        </xdr:cNvPr>
        <xdr:cNvSpPr txBox="1"/>
      </xdr:nvSpPr>
      <xdr:spPr>
        <a:xfrm>
          <a:off x="22383323" y="4629465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04103AD-9EFF-4AD5-9256-1396E7ABEC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154.954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99</xdr:col>
      <xdr:colOff>177227</xdr:colOff>
      <xdr:row>17</xdr:row>
      <xdr:rowOff>67504</xdr:rowOff>
    </xdr:from>
    <xdr:ext cx="444352" cy="224998"/>
    <xdr:sp macro="" textlink="$CV$7">
      <xdr:nvSpPr>
        <xdr:cNvPr id="62" name="テキスト ボックス 61">
          <a:extLst>
            <a:ext uri="{FF2B5EF4-FFF2-40B4-BE49-F238E27FC236}">
              <a16:creationId xmlns:a16="http://schemas.microsoft.com/office/drawing/2014/main" id="{0DA3258C-F79F-4B06-96C1-1C7AD86B18D8}"/>
            </a:ext>
          </a:extLst>
        </xdr:cNvPr>
        <xdr:cNvSpPr txBox="1"/>
      </xdr:nvSpPr>
      <xdr:spPr>
        <a:xfrm>
          <a:off x="15036227" y="395370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2C3E4A4-54BF-4603-AD1C-1B3EDDD89934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2.679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25216</xdr:colOff>
      <xdr:row>28</xdr:row>
      <xdr:rowOff>91456</xdr:rowOff>
    </xdr:from>
    <xdr:ext cx="300082" cy="224998"/>
    <xdr:sp macro="" textlink="$CV$5">
      <xdr:nvSpPr>
        <xdr:cNvPr id="63" name="テキスト ボックス 62">
          <a:extLst>
            <a:ext uri="{FF2B5EF4-FFF2-40B4-BE49-F238E27FC236}">
              <a16:creationId xmlns:a16="http://schemas.microsoft.com/office/drawing/2014/main" id="{0E4CFCC4-5453-4214-977F-B8503825EEE1}"/>
            </a:ext>
          </a:extLst>
        </xdr:cNvPr>
        <xdr:cNvSpPr txBox="1"/>
      </xdr:nvSpPr>
      <xdr:spPr>
        <a:xfrm>
          <a:off x="14198416" y="6492256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CCA0A3A-87B8-47D5-ABB8-AE7ABF9AD2C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92</xdr:col>
      <xdr:colOff>154794</xdr:colOff>
      <xdr:row>29</xdr:row>
      <xdr:rowOff>197785</xdr:rowOff>
    </xdr:from>
    <xdr:to>
      <xdr:col>95</xdr:col>
      <xdr:colOff>103187</xdr:colOff>
      <xdr:row>29</xdr:row>
      <xdr:rowOff>197785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F785DAFC-C281-48DE-893D-B6D95C835D52}"/>
            </a:ext>
          </a:extLst>
        </xdr:cNvPr>
        <xdr:cNvCxnSpPr/>
      </xdr:nvCxnSpPr>
      <xdr:spPr>
        <a:xfrm>
          <a:off x="13413594" y="6827185"/>
          <a:ext cx="63419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102744</xdr:colOff>
      <xdr:row>29</xdr:row>
      <xdr:rowOff>50414</xdr:rowOff>
    </xdr:from>
    <xdr:to>
      <xdr:col>95</xdr:col>
      <xdr:colOff>102744</xdr:colOff>
      <xdr:row>30</xdr:row>
      <xdr:rowOff>13162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44719554-23FA-4F4B-845F-124D7D7D0859}"/>
            </a:ext>
          </a:extLst>
        </xdr:cNvPr>
        <xdr:cNvCxnSpPr/>
      </xdr:nvCxnSpPr>
      <xdr:spPr>
        <a:xfrm>
          <a:off x="14047344" y="6679814"/>
          <a:ext cx="0" cy="19134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91</xdr:col>
      <xdr:colOff>55143</xdr:colOff>
      <xdr:row>25</xdr:row>
      <xdr:rowOff>222672</xdr:rowOff>
    </xdr:from>
    <xdr:to>
      <xdr:col>91</xdr:col>
      <xdr:colOff>55143</xdr:colOff>
      <xdr:row>29</xdr:row>
      <xdr:rowOff>67469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63C6AB7E-4444-4534-A79A-1AFDEA34AE5F}"/>
            </a:ext>
          </a:extLst>
        </xdr:cNvPr>
        <xdr:cNvCxnSpPr/>
      </xdr:nvCxnSpPr>
      <xdr:spPr>
        <a:xfrm>
          <a:off x="13085343" y="5937672"/>
          <a:ext cx="0" cy="75919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90</xdr:col>
      <xdr:colOff>69680</xdr:colOff>
      <xdr:row>27</xdr:row>
      <xdr:rowOff>102846</xdr:rowOff>
    </xdr:from>
    <xdr:ext cx="224998" cy="405688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E2121BF2-ABB3-4B19-AE28-C79A36D3095D}"/>
            </a:ext>
          </a:extLst>
        </xdr:cNvPr>
        <xdr:cNvSpPr txBox="1"/>
      </xdr:nvSpPr>
      <xdr:spPr>
        <a:xfrm rot="16200000">
          <a:off x="12780935" y="6365391"/>
          <a:ext cx="40568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91</xdr:col>
      <xdr:colOff>12428</xdr:colOff>
      <xdr:row>25</xdr:row>
      <xdr:rowOff>227432</xdr:rowOff>
    </xdr:from>
    <xdr:to>
      <xdr:col>91</xdr:col>
      <xdr:colOff>127195</xdr:colOff>
      <xdr:row>26</xdr:row>
      <xdr:rowOff>1689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24F8F2AE-F60A-4E6A-AB49-B5563C8983AB}"/>
            </a:ext>
          </a:extLst>
        </xdr:cNvPr>
        <xdr:cNvCxnSpPr/>
      </xdr:nvCxnSpPr>
      <xdr:spPr>
        <a:xfrm>
          <a:off x="13042628" y="5942432"/>
          <a:ext cx="114767" cy="2857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21</xdr:col>
      <xdr:colOff>47422</xdr:colOff>
      <xdr:row>15</xdr:row>
      <xdr:rowOff>29512</xdr:rowOff>
    </xdr:from>
    <xdr:ext cx="224998" cy="444352"/>
    <xdr:sp macro="" textlink="$AF$3">
      <xdr:nvSpPr>
        <xdr:cNvPr id="69" name="テキスト ボックス 68">
          <a:extLst>
            <a:ext uri="{FF2B5EF4-FFF2-40B4-BE49-F238E27FC236}">
              <a16:creationId xmlns:a16="http://schemas.microsoft.com/office/drawing/2014/main" id="{A3E8D163-633A-48B0-A292-3C07BB9CA4D5}"/>
            </a:ext>
          </a:extLst>
        </xdr:cNvPr>
        <xdr:cNvSpPr txBox="1"/>
      </xdr:nvSpPr>
      <xdr:spPr>
        <a:xfrm rot="16200000">
          <a:off x="4738345" y="356818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9CD967-049C-4A91-903B-5C79BD75187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96078</xdr:colOff>
      <xdr:row>9</xdr:row>
      <xdr:rowOff>117785</xdr:rowOff>
    </xdr:from>
    <xdr:ext cx="444352" cy="224998"/>
    <xdr:sp macro="" textlink="$AF$4">
      <xdr:nvSpPr>
        <xdr:cNvPr id="70" name="テキスト ボックス 69">
          <a:extLst>
            <a:ext uri="{FF2B5EF4-FFF2-40B4-BE49-F238E27FC236}">
              <a16:creationId xmlns:a16="http://schemas.microsoft.com/office/drawing/2014/main" id="{60131A14-26E5-444C-BFF7-93F8F2433C36}"/>
            </a:ext>
          </a:extLst>
        </xdr:cNvPr>
        <xdr:cNvSpPr txBox="1"/>
      </xdr:nvSpPr>
      <xdr:spPr>
        <a:xfrm>
          <a:off x="6268278" y="217518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CBAA683-5411-4221-B397-94521DA35B85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155067</xdr:colOff>
      <xdr:row>17</xdr:row>
      <xdr:rowOff>3024</xdr:rowOff>
    </xdr:from>
    <xdr:ext cx="224998" cy="328936"/>
    <xdr:sp macro="" textlink="$AF$8">
      <xdr:nvSpPr>
        <xdr:cNvPr id="71" name="テキスト ボックス 70">
          <a:extLst>
            <a:ext uri="{FF2B5EF4-FFF2-40B4-BE49-F238E27FC236}">
              <a16:creationId xmlns:a16="http://schemas.microsoft.com/office/drawing/2014/main" id="{DD178425-399E-4046-AC9B-4A54AEA92886}"/>
            </a:ext>
          </a:extLst>
        </xdr:cNvPr>
        <xdr:cNvSpPr txBox="1"/>
      </xdr:nvSpPr>
      <xdr:spPr>
        <a:xfrm rot="17160000">
          <a:off x="6035505" y="3933874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D3AC5E-1C94-4B9A-9B96-1DC5F6FB9B2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221515</xdr:colOff>
      <xdr:row>22</xdr:row>
      <xdr:rowOff>65455</xdr:rowOff>
    </xdr:from>
    <xdr:ext cx="444352" cy="224998"/>
    <xdr:sp macro="" textlink="$AF$5">
      <xdr:nvSpPr>
        <xdr:cNvPr id="72" name="テキスト ボックス 71">
          <a:extLst>
            <a:ext uri="{FF2B5EF4-FFF2-40B4-BE49-F238E27FC236}">
              <a16:creationId xmlns:a16="http://schemas.microsoft.com/office/drawing/2014/main" id="{D387BE9A-68F5-4870-A525-55466F2B4E60}"/>
            </a:ext>
          </a:extLst>
        </xdr:cNvPr>
        <xdr:cNvSpPr txBox="1"/>
      </xdr:nvSpPr>
      <xdr:spPr>
        <a:xfrm>
          <a:off x="5479315" y="50946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524262D-6895-411D-A697-1FAABA92A8A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99</xdr:col>
      <xdr:colOff>148071</xdr:colOff>
      <xdr:row>26</xdr:row>
      <xdr:rowOff>4662</xdr:rowOff>
    </xdr:from>
    <xdr:ext cx="300082" cy="224998"/>
    <xdr:sp macro="" textlink="$R$26">
      <xdr:nvSpPr>
        <xdr:cNvPr id="73" name="テキスト ボックス 72">
          <a:extLst>
            <a:ext uri="{FF2B5EF4-FFF2-40B4-BE49-F238E27FC236}">
              <a16:creationId xmlns:a16="http://schemas.microsoft.com/office/drawing/2014/main" id="{0AAF0826-8D60-4B7F-A825-92262C497965}"/>
            </a:ext>
          </a:extLst>
        </xdr:cNvPr>
        <xdr:cNvSpPr txBox="1"/>
      </xdr:nvSpPr>
      <xdr:spPr>
        <a:xfrm>
          <a:off x="15007071" y="5948262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AE8EF1-47D7-488D-BEE2-D62F025A2C84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90</xdr:col>
      <xdr:colOff>64426</xdr:colOff>
      <xdr:row>25</xdr:row>
      <xdr:rowOff>225404</xdr:rowOff>
    </xdr:from>
    <xdr:ext cx="224998" cy="444352"/>
    <xdr:sp macro="" textlink="$BX$31">
      <xdr:nvSpPr>
        <xdr:cNvPr id="74" name="テキスト ボックス 73">
          <a:extLst>
            <a:ext uri="{FF2B5EF4-FFF2-40B4-BE49-F238E27FC236}">
              <a16:creationId xmlns:a16="http://schemas.microsoft.com/office/drawing/2014/main" id="{6EDCC31A-F556-4348-A29B-73D517754E35}"/>
            </a:ext>
          </a:extLst>
        </xdr:cNvPr>
        <xdr:cNvSpPr txBox="1"/>
      </xdr:nvSpPr>
      <xdr:spPr>
        <a:xfrm rot="16200000">
          <a:off x="12756349" y="60500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1C5BC83-4C88-497D-8B96-D5DD060EBBF4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2.033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93</xdr:col>
      <xdr:colOff>75731</xdr:colOff>
      <xdr:row>29</xdr:row>
      <xdr:rowOff>156328</xdr:rowOff>
    </xdr:from>
    <xdr:ext cx="444352" cy="224998"/>
    <xdr:sp macro="" textlink="$BX$35">
      <xdr:nvSpPr>
        <xdr:cNvPr id="75" name="テキスト ボックス 74">
          <a:extLst>
            <a:ext uri="{FF2B5EF4-FFF2-40B4-BE49-F238E27FC236}">
              <a16:creationId xmlns:a16="http://schemas.microsoft.com/office/drawing/2014/main" id="{6F3234CD-B7BC-4308-BA2A-B51FEA4443C1}"/>
            </a:ext>
          </a:extLst>
        </xdr:cNvPr>
        <xdr:cNvSpPr txBox="1"/>
      </xdr:nvSpPr>
      <xdr:spPr>
        <a:xfrm>
          <a:off x="13563131" y="67857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911F49-822C-4926-9808-75D0D47A98E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1.893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23088</xdr:colOff>
      <xdr:row>26</xdr:row>
      <xdr:rowOff>91187</xdr:rowOff>
    </xdr:from>
    <xdr:ext cx="249748" cy="224998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EE7B9DED-051D-4117-B0A7-CCDB7B30F837}"/>
            </a:ext>
          </a:extLst>
        </xdr:cNvPr>
        <xdr:cNvSpPr txBox="1"/>
      </xdr:nvSpPr>
      <xdr:spPr>
        <a:xfrm>
          <a:off x="13967688" y="603478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152628</xdr:colOff>
      <xdr:row>24</xdr:row>
      <xdr:rowOff>175007</xdr:rowOff>
    </xdr:from>
    <xdr:ext cx="249748" cy="224998"/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93215ABF-E813-49D5-973B-E72395370011}"/>
            </a:ext>
          </a:extLst>
        </xdr:cNvPr>
        <xdr:cNvSpPr txBox="1"/>
      </xdr:nvSpPr>
      <xdr:spPr>
        <a:xfrm>
          <a:off x="14097228" y="566140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93</xdr:col>
      <xdr:colOff>73147</xdr:colOff>
      <xdr:row>26</xdr:row>
      <xdr:rowOff>24539</xdr:rowOff>
    </xdr:from>
    <xdr:ext cx="502061" cy="224998"/>
    <xdr:sp macro="" textlink="$CV$11">
      <xdr:nvSpPr>
        <xdr:cNvPr id="78" name="テキスト ボックス 77">
          <a:extLst>
            <a:ext uri="{FF2B5EF4-FFF2-40B4-BE49-F238E27FC236}">
              <a16:creationId xmlns:a16="http://schemas.microsoft.com/office/drawing/2014/main" id="{3C333352-DC1A-4693-B9B6-2EAB789B11C9}"/>
            </a:ext>
          </a:extLst>
        </xdr:cNvPr>
        <xdr:cNvSpPr txBox="1"/>
      </xdr:nvSpPr>
      <xdr:spPr>
        <a:xfrm>
          <a:off x="21099323" y="5902825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4E218E-D87A-463D-89A5-0E760D7DD23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41.239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157780</xdr:colOff>
      <xdr:row>12</xdr:row>
      <xdr:rowOff>21717</xdr:rowOff>
    </xdr:from>
    <xdr:to>
      <xdr:col>28</xdr:col>
      <xdr:colOff>101782</xdr:colOff>
      <xdr:row>12</xdr:row>
      <xdr:rowOff>21717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EF98FEE7-F25D-4E8C-B86A-F2EC4055B91F}"/>
            </a:ext>
          </a:extLst>
        </xdr:cNvPr>
        <xdr:cNvCxnSpPr/>
      </xdr:nvCxnSpPr>
      <xdr:spPr>
        <a:xfrm>
          <a:off x="6101380" y="2764917"/>
          <a:ext cx="40120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101600</xdr:colOff>
      <xdr:row>12</xdr:row>
      <xdr:rowOff>21080</xdr:rowOff>
    </xdr:from>
    <xdr:to>
      <xdr:col>25</xdr:col>
      <xdr:colOff>180237</xdr:colOff>
      <xdr:row>12</xdr:row>
      <xdr:rowOff>21080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BFFAA7FD-DA38-4596-BE6B-70D165ABBDAA}"/>
            </a:ext>
          </a:extLst>
        </xdr:cNvPr>
        <xdr:cNvCxnSpPr/>
      </xdr:nvCxnSpPr>
      <xdr:spPr>
        <a:xfrm>
          <a:off x="4902200" y="2764280"/>
          <a:ext cx="99303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152400</xdr:colOff>
      <xdr:row>21</xdr:row>
      <xdr:rowOff>123011</xdr:rowOff>
    </xdr:from>
    <xdr:to>
      <xdr:col>23</xdr:col>
      <xdr:colOff>70531</xdr:colOff>
      <xdr:row>21</xdr:row>
      <xdr:rowOff>123011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1670A8D8-C8E3-4517-8FF8-64C57E109AFC}"/>
            </a:ext>
          </a:extLst>
        </xdr:cNvPr>
        <xdr:cNvCxnSpPr/>
      </xdr:nvCxnSpPr>
      <xdr:spPr>
        <a:xfrm>
          <a:off x="4953000" y="4923611"/>
          <a:ext cx="37533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205797</xdr:colOff>
      <xdr:row>22</xdr:row>
      <xdr:rowOff>115668</xdr:rowOff>
    </xdr:from>
    <xdr:to>
      <xdr:col>25</xdr:col>
      <xdr:colOff>221800</xdr:colOff>
      <xdr:row>22</xdr:row>
      <xdr:rowOff>115668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5268362B-AC29-4660-AE43-8E2C2A91E2E9}"/>
            </a:ext>
          </a:extLst>
        </xdr:cNvPr>
        <xdr:cNvCxnSpPr/>
      </xdr:nvCxnSpPr>
      <xdr:spPr>
        <a:xfrm>
          <a:off x="5463597" y="5144868"/>
          <a:ext cx="47320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203395</xdr:colOff>
      <xdr:row>21</xdr:row>
      <xdr:rowOff>218649</xdr:rowOff>
    </xdr:from>
    <xdr:to>
      <xdr:col>23</xdr:col>
      <xdr:colOff>203395</xdr:colOff>
      <xdr:row>22</xdr:row>
      <xdr:rowOff>181341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9DCB99E4-0E7F-46B8-82A1-D4C3143EEA88}"/>
            </a:ext>
          </a:extLst>
        </xdr:cNvPr>
        <xdr:cNvCxnSpPr/>
      </xdr:nvCxnSpPr>
      <xdr:spPr>
        <a:xfrm>
          <a:off x="5461195" y="5019249"/>
          <a:ext cx="0" cy="19129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184447</xdr:colOff>
      <xdr:row>12</xdr:row>
      <xdr:rowOff>22976</xdr:rowOff>
    </xdr:from>
    <xdr:to>
      <xdr:col>28</xdr:col>
      <xdr:colOff>101259</xdr:colOff>
      <xdr:row>21</xdr:row>
      <xdr:rowOff>6222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41855866-DED2-4AFE-8A34-77FEF3052FF8}"/>
            </a:ext>
          </a:extLst>
        </xdr:cNvPr>
        <xdr:cNvCxnSpPr/>
      </xdr:nvCxnSpPr>
      <xdr:spPr>
        <a:xfrm flipH="1">
          <a:off x="5899447" y="2766176"/>
          <a:ext cx="602612" cy="204064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218832</xdr:colOff>
      <xdr:row>21</xdr:row>
      <xdr:rowOff>209124</xdr:rowOff>
    </xdr:from>
    <xdr:to>
      <xdr:col>25</xdr:col>
      <xdr:colOff>218832</xdr:colOff>
      <xdr:row>22</xdr:row>
      <xdr:rowOff>161462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75DC6198-27EF-485D-9027-2985907D1AC9}"/>
            </a:ext>
          </a:extLst>
        </xdr:cNvPr>
        <xdr:cNvCxnSpPr/>
      </xdr:nvCxnSpPr>
      <xdr:spPr>
        <a:xfrm>
          <a:off x="5933832" y="5009724"/>
          <a:ext cx="0" cy="18093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11817</xdr:colOff>
      <xdr:row>12</xdr:row>
      <xdr:rowOff>18213</xdr:rowOff>
    </xdr:from>
    <xdr:to>
      <xdr:col>26</xdr:col>
      <xdr:colOff>157013</xdr:colOff>
      <xdr:row>21</xdr:row>
      <xdr:rowOff>5813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E366BF9F-AA9E-4BEB-B566-7FF2EDA3D4BE}"/>
            </a:ext>
          </a:extLst>
        </xdr:cNvPr>
        <xdr:cNvCxnSpPr/>
      </xdr:nvCxnSpPr>
      <xdr:spPr>
        <a:xfrm flipH="1">
          <a:off x="5498217" y="2761413"/>
          <a:ext cx="602396" cy="2045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196804</xdr:colOff>
      <xdr:row>21</xdr:row>
      <xdr:rowOff>10167</xdr:rowOff>
    </xdr:from>
    <xdr:to>
      <xdr:col>25</xdr:col>
      <xdr:colOff>212807</xdr:colOff>
      <xdr:row>21</xdr:row>
      <xdr:rowOff>118167</xdr:rowOff>
    </xdr:to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F70D1DE6-587F-4587-8F8D-AAE457C84CFE}"/>
            </a:ext>
          </a:extLst>
        </xdr:cNvPr>
        <xdr:cNvSpPr/>
      </xdr:nvSpPr>
      <xdr:spPr>
        <a:xfrm>
          <a:off x="5454604" y="4810767"/>
          <a:ext cx="473203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21</xdr:col>
      <xdr:colOff>223533</xdr:colOff>
      <xdr:row>12</xdr:row>
      <xdr:rowOff>21906</xdr:rowOff>
    </xdr:from>
    <xdr:to>
      <xdr:col>21</xdr:col>
      <xdr:colOff>223533</xdr:colOff>
      <xdr:row>21</xdr:row>
      <xdr:rowOff>126577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4EBA7CBB-6597-4D3D-A142-7786D1AE935E}"/>
            </a:ext>
          </a:extLst>
        </xdr:cNvPr>
        <xdr:cNvCxnSpPr/>
      </xdr:nvCxnSpPr>
      <xdr:spPr>
        <a:xfrm>
          <a:off x="5024133" y="2765106"/>
          <a:ext cx="0" cy="216207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92598</xdr:colOff>
      <xdr:row>12</xdr:row>
      <xdr:rowOff>145190</xdr:rowOff>
    </xdr:from>
    <xdr:to>
      <xdr:col>27</xdr:col>
      <xdr:colOff>200293</xdr:colOff>
      <xdr:row>21</xdr:row>
      <xdr:rowOff>6222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2843751A-945F-43C9-BD06-7B0626272C6D}"/>
            </a:ext>
          </a:extLst>
        </xdr:cNvPr>
        <xdr:cNvCxnSpPr/>
      </xdr:nvCxnSpPr>
      <xdr:spPr>
        <a:xfrm flipH="1">
          <a:off x="5807598" y="2888390"/>
          <a:ext cx="564895" cy="191843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117741</xdr:colOff>
      <xdr:row>19</xdr:row>
      <xdr:rowOff>115070</xdr:rowOff>
    </xdr:from>
    <xdr:to>
      <xdr:col>25</xdr:col>
      <xdr:colOff>197654</xdr:colOff>
      <xdr:row>19</xdr:row>
      <xdr:rowOff>115070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B60C54AC-8ECF-49AC-A47A-DCEEA7D6F573}"/>
            </a:ext>
          </a:extLst>
        </xdr:cNvPr>
        <xdr:cNvCxnSpPr/>
      </xdr:nvCxnSpPr>
      <xdr:spPr>
        <a:xfrm>
          <a:off x="5604141" y="4458470"/>
          <a:ext cx="30851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217890</xdr:colOff>
      <xdr:row>18</xdr:row>
      <xdr:rowOff>3452</xdr:rowOff>
    </xdr:from>
    <xdr:to>
      <xdr:col>26</xdr:col>
      <xdr:colOff>71804</xdr:colOff>
      <xdr:row>18</xdr:row>
      <xdr:rowOff>3452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DF3F554C-6C7C-483F-83A4-55B24CD73236}"/>
            </a:ext>
          </a:extLst>
        </xdr:cNvPr>
        <xdr:cNvCxnSpPr/>
      </xdr:nvCxnSpPr>
      <xdr:spPr>
        <a:xfrm>
          <a:off x="5704290" y="4118252"/>
          <a:ext cx="31111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87686</xdr:colOff>
      <xdr:row>16</xdr:row>
      <xdr:rowOff>115496</xdr:rowOff>
    </xdr:from>
    <xdr:to>
      <xdr:col>26</xdr:col>
      <xdr:colOff>167598</xdr:colOff>
      <xdr:row>16</xdr:row>
      <xdr:rowOff>115496</xdr:rowOff>
    </xdr:to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A0A96A9A-7656-43E7-8DFA-E1C70D975CE1}"/>
            </a:ext>
          </a:extLst>
        </xdr:cNvPr>
        <xdr:cNvCxnSpPr/>
      </xdr:nvCxnSpPr>
      <xdr:spPr>
        <a:xfrm>
          <a:off x="5802686" y="3773096"/>
          <a:ext cx="30851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192189</xdr:colOff>
      <xdr:row>14</xdr:row>
      <xdr:rowOff>234779</xdr:rowOff>
    </xdr:from>
    <xdr:to>
      <xdr:col>27</xdr:col>
      <xdr:colOff>44966</xdr:colOff>
      <xdr:row>15</xdr:row>
      <xdr:rowOff>1535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8BDEE025-B260-40E9-9C71-570798BF5051}"/>
            </a:ext>
          </a:extLst>
        </xdr:cNvPr>
        <xdr:cNvCxnSpPr/>
      </xdr:nvCxnSpPr>
      <xdr:spPr>
        <a:xfrm>
          <a:off x="5907189" y="3427559"/>
          <a:ext cx="309977" cy="206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75047</xdr:colOff>
      <xdr:row>13</xdr:row>
      <xdr:rowOff>107210</xdr:rowOff>
    </xdr:from>
    <xdr:to>
      <xdr:col>27</xdr:col>
      <xdr:colOff>154959</xdr:colOff>
      <xdr:row>13</xdr:row>
      <xdr:rowOff>107210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EDF7557A-B135-498E-BEDB-6D711A82F5BF}"/>
            </a:ext>
          </a:extLst>
        </xdr:cNvPr>
        <xdr:cNvCxnSpPr/>
      </xdr:nvCxnSpPr>
      <xdr:spPr>
        <a:xfrm>
          <a:off x="6018647" y="3079010"/>
          <a:ext cx="30851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113827</xdr:colOff>
      <xdr:row>12</xdr:row>
      <xdr:rowOff>139691</xdr:rowOff>
    </xdr:from>
    <xdr:to>
      <xdr:col>28</xdr:col>
      <xdr:colOff>74285</xdr:colOff>
      <xdr:row>12</xdr:row>
      <xdr:rowOff>139691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06AFEABE-40A9-4BDA-A23F-110813A235DB}"/>
            </a:ext>
          </a:extLst>
        </xdr:cNvPr>
        <xdr:cNvCxnSpPr/>
      </xdr:nvCxnSpPr>
      <xdr:spPr>
        <a:xfrm>
          <a:off x="6057427" y="2882891"/>
          <a:ext cx="41765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162982</xdr:colOff>
      <xdr:row>10</xdr:row>
      <xdr:rowOff>133190</xdr:rowOff>
    </xdr:from>
    <xdr:to>
      <xdr:col>28</xdr:col>
      <xdr:colOff>111339</xdr:colOff>
      <xdr:row>10</xdr:row>
      <xdr:rowOff>133190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414A76CE-638F-46FA-93C0-7F9445E46D8E}"/>
            </a:ext>
          </a:extLst>
        </xdr:cNvPr>
        <xdr:cNvCxnSpPr/>
      </xdr:nvCxnSpPr>
      <xdr:spPr>
        <a:xfrm>
          <a:off x="6106582" y="2419190"/>
          <a:ext cx="40555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160580</xdr:colOff>
      <xdr:row>10</xdr:row>
      <xdr:rowOff>112346</xdr:rowOff>
    </xdr:from>
    <xdr:to>
      <xdr:col>26</xdr:col>
      <xdr:colOff>160580</xdr:colOff>
      <xdr:row>11</xdr:row>
      <xdr:rowOff>75038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1551C4B7-4727-4CBE-BD51-FA3E88E639CE}"/>
            </a:ext>
          </a:extLst>
        </xdr:cNvPr>
        <xdr:cNvCxnSpPr/>
      </xdr:nvCxnSpPr>
      <xdr:spPr>
        <a:xfrm>
          <a:off x="6104180" y="2398346"/>
          <a:ext cx="0" cy="19129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3696</xdr:colOff>
      <xdr:row>11</xdr:row>
      <xdr:rowOff>231774</xdr:rowOff>
    </xdr:from>
    <xdr:ext cx="224998" cy="213520"/>
    <xdr:sp macro="" textlink="$T$10">
      <xdr:nvSpPr>
        <xdr:cNvPr id="98" name="テキスト ボックス 97">
          <a:extLst>
            <a:ext uri="{FF2B5EF4-FFF2-40B4-BE49-F238E27FC236}">
              <a16:creationId xmlns:a16="http://schemas.microsoft.com/office/drawing/2014/main" id="{A9FC8031-3B72-4DF0-AB40-79DFC63B5987}"/>
            </a:ext>
          </a:extLst>
        </xdr:cNvPr>
        <xdr:cNvSpPr txBox="1"/>
      </xdr:nvSpPr>
      <xdr:spPr>
        <a:xfrm rot="16200000">
          <a:off x="6867435" y="2740635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147809</xdr:colOff>
      <xdr:row>21</xdr:row>
      <xdr:rowOff>5443</xdr:rowOff>
    </xdr:from>
    <xdr:to>
      <xdr:col>25</xdr:col>
      <xdr:colOff>178820</xdr:colOff>
      <xdr:row>21</xdr:row>
      <xdr:rowOff>115498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A3B5900-A80E-4F06-A989-EF04CA1A27ED}"/>
            </a:ext>
          </a:extLst>
        </xdr:cNvPr>
        <xdr:cNvCxnSpPr/>
      </xdr:nvCxnSpPr>
      <xdr:spPr>
        <a:xfrm flipH="1">
          <a:off x="5862809" y="4806043"/>
          <a:ext cx="31011" cy="110055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89</xdr:col>
      <xdr:colOff>114708</xdr:colOff>
      <xdr:row>24</xdr:row>
      <xdr:rowOff>68213</xdr:rowOff>
    </xdr:from>
    <xdr:ext cx="224998" cy="361959"/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0B19AD38-9771-43B6-A451-3C2C22B5DB3C}"/>
            </a:ext>
          </a:extLst>
        </xdr:cNvPr>
        <xdr:cNvSpPr txBox="1"/>
      </xdr:nvSpPr>
      <xdr:spPr>
        <a:xfrm rot="16200000">
          <a:off x="20391627" y="5623094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91</xdr:col>
      <xdr:colOff>185387</xdr:colOff>
      <xdr:row>30</xdr:row>
      <xdr:rowOff>218875</xdr:rowOff>
    </xdr:from>
    <xdr:ext cx="349135" cy="224998"/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8E49F201-4B3A-4374-9537-C6AC07B73DCE}"/>
            </a:ext>
          </a:extLst>
        </xdr:cNvPr>
        <xdr:cNvSpPr txBox="1"/>
      </xdr:nvSpPr>
      <xdr:spPr>
        <a:xfrm>
          <a:off x="13215587" y="7076875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78999</xdr:colOff>
      <xdr:row>17</xdr:row>
      <xdr:rowOff>71747</xdr:rowOff>
    </xdr:from>
    <xdr:ext cx="336311" cy="224998"/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C8EB7783-A7AE-4200-A225-9F49ADC68408}"/>
            </a:ext>
          </a:extLst>
        </xdr:cNvPr>
        <xdr:cNvSpPr txBox="1"/>
      </xdr:nvSpPr>
      <xdr:spPr>
        <a:xfrm>
          <a:off x="14023599" y="3957947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57887</xdr:colOff>
      <xdr:row>18</xdr:row>
      <xdr:rowOff>42875</xdr:rowOff>
    </xdr:from>
    <xdr:to>
      <xdr:col>97</xdr:col>
      <xdr:colOff>57887</xdr:colOff>
      <xdr:row>18</xdr:row>
      <xdr:rowOff>221202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DE6982CD-C89D-4A60-AAF3-CD52C5347570}"/>
            </a:ext>
          </a:extLst>
        </xdr:cNvPr>
        <xdr:cNvCxnSpPr/>
      </xdr:nvCxnSpPr>
      <xdr:spPr>
        <a:xfrm>
          <a:off x="14459687" y="4157675"/>
          <a:ext cx="0" cy="17832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63684</xdr:colOff>
      <xdr:row>19</xdr:row>
      <xdr:rowOff>207558</xdr:rowOff>
    </xdr:from>
    <xdr:to>
      <xdr:col>102</xdr:col>
      <xdr:colOff>225124</xdr:colOff>
      <xdr:row>19</xdr:row>
      <xdr:rowOff>207558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8F916D76-053E-476D-90A9-09924B1053A9}"/>
            </a:ext>
          </a:extLst>
        </xdr:cNvPr>
        <xdr:cNvCxnSpPr/>
      </xdr:nvCxnSpPr>
      <xdr:spPr>
        <a:xfrm>
          <a:off x="14465484" y="4550958"/>
          <a:ext cx="1304440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172766</xdr:colOff>
      <xdr:row>17</xdr:row>
      <xdr:rowOff>71747</xdr:rowOff>
    </xdr:from>
    <xdr:ext cx="374783" cy="224998"/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A8CAA52B-F46B-4885-B782-77CC19F7CC27}"/>
            </a:ext>
          </a:extLst>
        </xdr:cNvPr>
        <xdr:cNvSpPr txBox="1"/>
      </xdr:nvSpPr>
      <xdr:spPr>
        <a:xfrm>
          <a:off x="14803166" y="3957947"/>
          <a:ext cx="37478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48182</xdr:colOff>
      <xdr:row>28</xdr:row>
      <xdr:rowOff>172114</xdr:rowOff>
    </xdr:from>
    <xdr:to>
      <xdr:col>95</xdr:col>
      <xdr:colOff>54555</xdr:colOff>
      <xdr:row>29</xdr:row>
      <xdr:rowOff>167342</xdr:rowOff>
    </xdr:to>
    <xdr:sp macro="" textlink="">
      <xdr:nvSpPr>
        <xdr:cNvPr id="106" name="円弧 105">
          <a:extLst>
            <a:ext uri="{FF2B5EF4-FFF2-40B4-BE49-F238E27FC236}">
              <a16:creationId xmlns:a16="http://schemas.microsoft.com/office/drawing/2014/main" id="{AE227089-1A42-4334-84C6-A488217EA8BF}"/>
            </a:ext>
          </a:extLst>
        </xdr:cNvPr>
        <xdr:cNvSpPr/>
      </xdr:nvSpPr>
      <xdr:spPr>
        <a:xfrm rot="1800000">
          <a:off x="13764182" y="6572914"/>
          <a:ext cx="234973" cy="223828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94</xdr:col>
      <xdr:colOff>109736</xdr:colOff>
      <xdr:row>29</xdr:row>
      <xdr:rowOff>74887</xdr:rowOff>
    </xdr:from>
    <xdr:to>
      <xdr:col>96</xdr:col>
      <xdr:colOff>209128</xdr:colOff>
      <xdr:row>29</xdr:row>
      <xdr:rowOff>74887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E932FCA3-594D-4AB5-992D-5F2F5B8533B1}"/>
            </a:ext>
          </a:extLst>
        </xdr:cNvPr>
        <xdr:cNvCxnSpPr/>
      </xdr:nvCxnSpPr>
      <xdr:spPr>
        <a:xfrm>
          <a:off x="13825736" y="6704287"/>
          <a:ext cx="556592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40320</xdr:colOff>
      <xdr:row>28</xdr:row>
      <xdr:rowOff>76539</xdr:rowOff>
    </xdr:from>
    <xdr:ext cx="355097" cy="242374"/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679BC40C-7B89-472D-B6B2-AA8951BBFB0A}"/>
            </a:ext>
          </a:extLst>
        </xdr:cNvPr>
        <xdr:cNvSpPr txBox="1"/>
      </xdr:nvSpPr>
      <xdr:spPr>
        <a:xfrm>
          <a:off x="13984920" y="6477339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96</xdr:col>
      <xdr:colOff>142957</xdr:colOff>
      <xdr:row>20</xdr:row>
      <xdr:rowOff>204492</xdr:rowOff>
    </xdr:from>
    <xdr:to>
      <xdr:col>97</xdr:col>
      <xdr:colOff>148191</xdr:colOff>
      <xdr:row>21</xdr:row>
      <xdr:rowOff>200634</xdr:rowOff>
    </xdr:to>
    <xdr:sp macro="" textlink="">
      <xdr:nvSpPr>
        <xdr:cNvPr id="109" name="円弧 108">
          <a:extLst>
            <a:ext uri="{FF2B5EF4-FFF2-40B4-BE49-F238E27FC236}">
              <a16:creationId xmlns:a16="http://schemas.microsoft.com/office/drawing/2014/main" id="{9006C36A-AFB4-4EF8-86ED-475882A80E8E}"/>
            </a:ext>
          </a:extLst>
        </xdr:cNvPr>
        <xdr:cNvSpPr/>
      </xdr:nvSpPr>
      <xdr:spPr>
        <a:xfrm rot="9761260">
          <a:off x="14316157" y="4776492"/>
          <a:ext cx="233834" cy="224742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97</xdr:col>
      <xdr:colOff>62670</xdr:colOff>
      <xdr:row>19</xdr:row>
      <xdr:rowOff>208385</xdr:rowOff>
    </xdr:from>
    <xdr:to>
      <xdr:col>97</xdr:col>
      <xdr:colOff>62670</xdr:colOff>
      <xdr:row>22</xdr:row>
      <xdr:rowOff>166479</xdr:rowOff>
    </xdr:to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3FA456A2-1F3B-4C83-9050-1D07D1E84046}"/>
            </a:ext>
          </a:extLst>
        </xdr:cNvPr>
        <xdr:cNvCxnSpPr/>
      </xdr:nvCxnSpPr>
      <xdr:spPr>
        <a:xfrm>
          <a:off x="14464470" y="4551785"/>
          <a:ext cx="0" cy="643894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96</xdr:col>
      <xdr:colOff>59469</xdr:colOff>
      <xdr:row>21</xdr:row>
      <xdr:rowOff>165399</xdr:rowOff>
    </xdr:from>
    <xdr:ext cx="355097" cy="242374"/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D8AB7160-88EC-4485-9DDA-6FC17B413EC9}"/>
            </a:ext>
          </a:extLst>
        </xdr:cNvPr>
        <xdr:cNvSpPr txBox="1"/>
      </xdr:nvSpPr>
      <xdr:spPr>
        <a:xfrm>
          <a:off x="14232669" y="4965999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55405</xdr:colOff>
      <xdr:row>18</xdr:row>
      <xdr:rowOff>87197</xdr:rowOff>
    </xdr:from>
    <xdr:to>
      <xdr:col>103</xdr:col>
      <xdr:colOff>9205</xdr:colOff>
      <xdr:row>18</xdr:row>
      <xdr:rowOff>87197</xdr:rowOff>
    </xdr:to>
    <xdr:cxnSp macro="">
      <xdr:nvCxnSpPr>
        <xdr:cNvPr id="112" name="直線コネクタ 111">
          <a:extLst>
            <a:ext uri="{FF2B5EF4-FFF2-40B4-BE49-F238E27FC236}">
              <a16:creationId xmlns:a16="http://schemas.microsoft.com/office/drawing/2014/main" id="{50AC8888-AF33-4047-8017-79640C1E75DE}"/>
            </a:ext>
          </a:extLst>
        </xdr:cNvPr>
        <xdr:cNvCxnSpPr/>
      </xdr:nvCxnSpPr>
      <xdr:spPr>
        <a:xfrm>
          <a:off x="14457205" y="4201997"/>
          <a:ext cx="13254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103</xdr:col>
      <xdr:colOff>8564</xdr:colOff>
      <xdr:row>18</xdr:row>
      <xdr:rowOff>42875</xdr:rowOff>
    </xdr:from>
    <xdr:to>
      <xdr:col>103</xdr:col>
      <xdr:colOff>8564</xdr:colOff>
      <xdr:row>18</xdr:row>
      <xdr:rowOff>221202</xdr:rowOff>
    </xdr:to>
    <xdr:cxnSp macro="">
      <xdr:nvCxnSpPr>
        <xdr:cNvPr id="113" name="直線コネクタ 112">
          <a:extLst>
            <a:ext uri="{FF2B5EF4-FFF2-40B4-BE49-F238E27FC236}">
              <a16:creationId xmlns:a16="http://schemas.microsoft.com/office/drawing/2014/main" id="{D2D92900-97BB-481A-9DB5-AA704759C2BD}"/>
            </a:ext>
          </a:extLst>
        </xdr:cNvPr>
        <xdr:cNvCxnSpPr/>
      </xdr:nvCxnSpPr>
      <xdr:spPr>
        <a:xfrm>
          <a:off x="15781964" y="4157675"/>
          <a:ext cx="0" cy="17832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126414</xdr:colOff>
      <xdr:row>21</xdr:row>
      <xdr:rowOff>63615</xdr:rowOff>
    </xdr:from>
    <xdr:to>
      <xdr:col>98</xdr:col>
      <xdr:colOff>126414</xdr:colOff>
      <xdr:row>23</xdr:row>
      <xdr:rowOff>202333</xdr:rowOff>
    </xdr:to>
    <xdr:cxnSp macro="">
      <xdr:nvCxnSpPr>
        <xdr:cNvPr id="114" name="直線コネクタ 113">
          <a:extLst>
            <a:ext uri="{FF2B5EF4-FFF2-40B4-BE49-F238E27FC236}">
              <a16:creationId xmlns:a16="http://schemas.microsoft.com/office/drawing/2014/main" id="{1CEDDF07-404E-4339-91F6-F7E844EC4305}"/>
            </a:ext>
          </a:extLst>
        </xdr:cNvPr>
        <xdr:cNvCxnSpPr/>
      </xdr:nvCxnSpPr>
      <xdr:spPr>
        <a:xfrm>
          <a:off x="14756814" y="4864215"/>
          <a:ext cx="0" cy="595918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97</xdr:col>
      <xdr:colOff>222497</xdr:colOff>
      <xdr:row>20</xdr:row>
      <xdr:rowOff>109193</xdr:rowOff>
    </xdr:from>
    <xdr:ext cx="374718" cy="224998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32857EFB-5788-48A3-8CC7-88FC349E1212}"/>
            </a:ext>
          </a:extLst>
        </xdr:cNvPr>
        <xdr:cNvSpPr txBox="1"/>
      </xdr:nvSpPr>
      <xdr:spPr>
        <a:xfrm>
          <a:off x="14624297" y="4681193"/>
          <a:ext cx="37471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32640</xdr:colOff>
      <xdr:row>25</xdr:row>
      <xdr:rowOff>146986</xdr:rowOff>
    </xdr:from>
    <xdr:to>
      <xdr:col>100</xdr:col>
      <xdr:colOff>18106</xdr:colOff>
      <xdr:row>25</xdr:row>
      <xdr:rowOff>146986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2850CBD1-379B-4B0E-9BAA-477834CB3790}"/>
            </a:ext>
          </a:extLst>
        </xdr:cNvPr>
        <xdr:cNvCxnSpPr/>
      </xdr:nvCxnSpPr>
      <xdr:spPr>
        <a:xfrm rot="2460000">
          <a:off x="14663040" y="5861986"/>
          <a:ext cx="442666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181622</xdr:colOff>
      <xdr:row>24</xdr:row>
      <xdr:rowOff>226568</xdr:rowOff>
    </xdr:from>
    <xdr:to>
      <xdr:col>98</xdr:col>
      <xdr:colOff>181622</xdr:colOff>
      <xdr:row>27</xdr:row>
      <xdr:rowOff>106907</xdr:rowOff>
    </xdr:to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6D61AEAE-0B97-4A25-8546-F9A95DCAD80B}"/>
            </a:ext>
          </a:extLst>
        </xdr:cNvPr>
        <xdr:cNvCxnSpPr/>
      </xdr:nvCxnSpPr>
      <xdr:spPr>
        <a:xfrm rot="4260000">
          <a:off x="14528952" y="5996038"/>
          <a:ext cx="566139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33883</xdr:colOff>
      <xdr:row>25</xdr:row>
      <xdr:rowOff>22593</xdr:rowOff>
    </xdr:from>
    <xdr:to>
      <xdr:col>99</xdr:col>
      <xdr:colOff>36302</xdr:colOff>
      <xdr:row>26</xdr:row>
      <xdr:rowOff>20631</xdr:rowOff>
    </xdr:to>
    <xdr:sp macro="" textlink="">
      <xdr:nvSpPr>
        <xdr:cNvPr id="118" name="円弧 117">
          <a:extLst>
            <a:ext uri="{FF2B5EF4-FFF2-40B4-BE49-F238E27FC236}">
              <a16:creationId xmlns:a16="http://schemas.microsoft.com/office/drawing/2014/main" id="{7BACA2A5-49DA-47E1-BA32-3465EF0BA16E}"/>
            </a:ext>
          </a:extLst>
        </xdr:cNvPr>
        <xdr:cNvSpPr/>
      </xdr:nvSpPr>
      <xdr:spPr>
        <a:xfrm rot="5940764">
          <a:off x="14666474" y="5735402"/>
          <a:ext cx="226638" cy="231019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98</xdr:col>
      <xdr:colOff>162566</xdr:colOff>
      <xdr:row>25</xdr:row>
      <xdr:rowOff>233584</xdr:rowOff>
    </xdr:from>
    <xdr:ext cx="355097" cy="242374"/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5B5ECCD6-923F-42CD-B85D-A1FD654D9FA4}"/>
            </a:ext>
          </a:extLst>
        </xdr:cNvPr>
        <xdr:cNvSpPr txBox="1"/>
      </xdr:nvSpPr>
      <xdr:spPr>
        <a:xfrm>
          <a:off x="14792966" y="5940964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161144</xdr:colOff>
      <xdr:row>25</xdr:row>
      <xdr:rowOff>226088</xdr:rowOff>
    </xdr:from>
    <xdr:to>
      <xdr:col>95</xdr:col>
      <xdr:colOff>127656</xdr:colOff>
      <xdr:row>26</xdr:row>
      <xdr:rowOff>620</xdr:rowOff>
    </xdr:to>
    <xdr:cxnSp macro="">
      <xdr:nvCxnSpPr>
        <xdr:cNvPr id="120" name="直線コネクタ 119">
          <a:extLst>
            <a:ext uri="{FF2B5EF4-FFF2-40B4-BE49-F238E27FC236}">
              <a16:creationId xmlns:a16="http://schemas.microsoft.com/office/drawing/2014/main" id="{287C07C7-0DA4-478C-811D-2B0833B59D7D}"/>
            </a:ext>
          </a:extLst>
        </xdr:cNvPr>
        <xdr:cNvCxnSpPr/>
      </xdr:nvCxnSpPr>
      <xdr:spPr>
        <a:xfrm rot="5160000">
          <a:off x="13974700" y="5843532"/>
          <a:ext cx="0" cy="195112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118923</xdr:colOff>
      <xdr:row>25</xdr:row>
      <xdr:rowOff>141637</xdr:rowOff>
    </xdr:from>
    <xdr:to>
      <xdr:col>95</xdr:col>
      <xdr:colOff>123148</xdr:colOff>
      <xdr:row>25</xdr:row>
      <xdr:rowOff>215440</xdr:rowOff>
    </xdr:to>
    <xdr:cxnSp macro="">
      <xdr:nvCxnSpPr>
        <xdr:cNvPr id="121" name="直線コネクタ 120">
          <a:extLst>
            <a:ext uri="{FF2B5EF4-FFF2-40B4-BE49-F238E27FC236}">
              <a16:creationId xmlns:a16="http://schemas.microsoft.com/office/drawing/2014/main" id="{EFCE8106-9648-46BA-AC99-4E7B2F87EC36}"/>
            </a:ext>
          </a:extLst>
        </xdr:cNvPr>
        <xdr:cNvCxnSpPr/>
      </xdr:nvCxnSpPr>
      <xdr:spPr>
        <a:xfrm>
          <a:off x="13834923" y="5856637"/>
          <a:ext cx="232825" cy="73803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93</xdr:col>
      <xdr:colOff>183473</xdr:colOff>
      <xdr:row>24</xdr:row>
      <xdr:rowOff>69701</xdr:rowOff>
    </xdr:from>
    <xdr:ext cx="355097" cy="242374"/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C8BEC42B-73DB-4B63-9DBC-80BB9DAD643E}"/>
            </a:ext>
          </a:extLst>
        </xdr:cNvPr>
        <xdr:cNvSpPr txBox="1"/>
      </xdr:nvSpPr>
      <xdr:spPr>
        <a:xfrm>
          <a:off x="13670873" y="5556101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187970</xdr:colOff>
      <xdr:row>25</xdr:row>
      <xdr:rowOff>111522</xdr:rowOff>
    </xdr:from>
    <xdr:to>
      <xdr:col>95</xdr:col>
      <xdr:colOff>213616</xdr:colOff>
      <xdr:row>26</xdr:row>
      <xdr:rowOff>104099</xdr:rowOff>
    </xdr:to>
    <xdr:sp macro="" textlink="">
      <xdr:nvSpPr>
        <xdr:cNvPr id="123" name="円弧 122">
          <a:extLst>
            <a:ext uri="{FF2B5EF4-FFF2-40B4-BE49-F238E27FC236}">
              <a16:creationId xmlns:a16="http://schemas.microsoft.com/office/drawing/2014/main" id="{7AD3051F-3001-4218-A2AD-6098D0494A10}"/>
            </a:ext>
          </a:extLst>
        </xdr:cNvPr>
        <xdr:cNvSpPr/>
      </xdr:nvSpPr>
      <xdr:spPr>
        <a:xfrm rot="11882846">
          <a:off x="13903970" y="5826522"/>
          <a:ext cx="254246" cy="221177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94</xdr:col>
      <xdr:colOff>193224</xdr:colOff>
      <xdr:row>25</xdr:row>
      <xdr:rowOff>46332</xdr:rowOff>
    </xdr:from>
    <xdr:to>
      <xdr:col>95</xdr:col>
      <xdr:colOff>199358</xdr:colOff>
      <xdr:row>26</xdr:row>
      <xdr:rowOff>51470</xdr:rowOff>
    </xdr:to>
    <xdr:sp macro="" textlink="">
      <xdr:nvSpPr>
        <xdr:cNvPr id="124" name="円弧 123">
          <a:extLst>
            <a:ext uri="{FF2B5EF4-FFF2-40B4-BE49-F238E27FC236}">
              <a16:creationId xmlns:a16="http://schemas.microsoft.com/office/drawing/2014/main" id="{5E9463F8-BA42-4CD4-911B-72B8EA1FED83}"/>
            </a:ext>
          </a:extLst>
        </xdr:cNvPr>
        <xdr:cNvSpPr/>
      </xdr:nvSpPr>
      <xdr:spPr>
        <a:xfrm rot="16419954">
          <a:off x="13909722" y="5760834"/>
          <a:ext cx="233738" cy="234734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93</xdr:col>
      <xdr:colOff>137638</xdr:colOff>
      <xdr:row>25</xdr:row>
      <xdr:rowOff>148096</xdr:rowOff>
    </xdr:from>
    <xdr:ext cx="302199" cy="224998"/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820658E3-A971-4969-84D5-093EC68499CE}"/>
            </a:ext>
          </a:extLst>
        </xdr:cNvPr>
        <xdr:cNvSpPr txBox="1"/>
      </xdr:nvSpPr>
      <xdr:spPr>
        <a:xfrm>
          <a:off x="13625038" y="5863096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129236</xdr:colOff>
      <xdr:row>24</xdr:row>
      <xdr:rowOff>202391</xdr:rowOff>
    </xdr:from>
    <xdr:to>
      <xdr:col>98</xdr:col>
      <xdr:colOff>185915</xdr:colOff>
      <xdr:row>25</xdr:row>
      <xdr:rowOff>2812</xdr:rowOff>
    </xdr:to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1C99F4BF-49D6-4D5C-8E66-129B5C182365}"/>
            </a:ext>
          </a:extLst>
        </xdr:cNvPr>
        <xdr:cNvCxnSpPr/>
      </xdr:nvCxnSpPr>
      <xdr:spPr>
        <a:xfrm>
          <a:off x="14759636" y="5688791"/>
          <a:ext cx="56679" cy="29021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143255</xdr:colOff>
      <xdr:row>25</xdr:row>
      <xdr:rowOff>5916</xdr:rowOff>
    </xdr:from>
    <xdr:to>
      <xdr:col>98</xdr:col>
      <xdr:colOff>175654</xdr:colOff>
      <xdr:row>25</xdr:row>
      <xdr:rowOff>41836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B059DD9F-9872-49AE-BCF5-FCD885EDCEF0}"/>
            </a:ext>
          </a:extLst>
        </xdr:cNvPr>
        <xdr:cNvCxnSpPr/>
      </xdr:nvCxnSpPr>
      <xdr:spPr>
        <a:xfrm flipH="1">
          <a:off x="14773655" y="5720916"/>
          <a:ext cx="32399" cy="35920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76962</xdr:colOff>
      <xdr:row>25</xdr:row>
      <xdr:rowOff>124372</xdr:rowOff>
    </xdr:from>
    <xdr:to>
      <xdr:col>95</xdr:col>
      <xdr:colOff>141103</xdr:colOff>
      <xdr:row>25</xdr:row>
      <xdr:rowOff>145505</xdr:rowOff>
    </xdr:to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57519178-F335-4F27-8BF4-153282E38E80}"/>
            </a:ext>
          </a:extLst>
        </xdr:cNvPr>
        <xdr:cNvCxnSpPr/>
      </xdr:nvCxnSpPr>
      <xdr:spPr>
        <a:xfrm>
          <a:off x="14021562" y="5839372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60037</xdr:colOff>
      <xdr:row>25</xdr:row>
      <xdr:rowOff>124449</xdr:rowOff>
    </xdr:from>
    <xdr:to>
      <xdr:col>95</xdr:col>
      <xdr:colOff>77434</xdr:colOff>
      <xdr:row>25</xdr:row>
      <xdr:rowOff>180437</xdr:rowOff>
    </xdr:to>
    <xdr:cxnSp macro="">
      <xdr:nvCxnSpPr>
        <xdr:cNvPr id="129" name="直線コネクタ 128">
          <a:extLst>
            <a:ext uri="{FF2B5EF4-FFF2-40B4-BE49-F238E27FC236}">
              <a16:creationId xmlns:a16="http://schemas.microsoft.com/office/drawing/2014/main" id="{5F17D526-F437-43CF-91E0-43EF06603B5E}"/>
            </a:ext>
          </a:extLst>
        </xdr:cNvPr>
        <xdr:cNvCxnSpPr/>
      </xdr:nvCxnSpPr>
      <xdr:spPr>
        <a:xfrm flipH="1">
          <a:off x="14004637" y="5839449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72884</xdr:colOff>
      <xdr:row>19</xdr:row>
      <xdr:rowOff>40520</xdr:rowOff>
    </xdr:from>
    <xdr:to>
      <xdr:col>97</xdr:col>
      <xdr:colOff>74280</xdr:colOff>
      <xdr:row>19</xdr:row>
      <xdr:rowOff>201762</xdr:rowOff>
    </xdr:to>
    <xdr:cxnSp macro="">
      <xdr:nvCxnSpPr>
        <xdr:cNvPr id="130" name="直線コネクタ 129">
          <a:extLst>
            <a:ext uri="{FF2B5EF4-FFF2-40B4-BE49-F238E27FC236}">
              <a16:creationId xmlns:a16="http://schemas.microsoft.com/office/drawing/2014/main" id="{CFA678A0-F5E5-4737-9406-870B6743079B}"/>
            </a:ext>
          </a:extLst>
        </xdr:cNvPr>
        <xdr:cNvCxnSpPr/>
      </xdr:nvCxnSpPr>
      <xdr:spPr>
        <a:xfrm flipH="1">
          <a:off x="1447468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182534</xdr:colOff>
      <xdr:row>19</xdr:row>
      <xdr:rowOff>40520</xdr:rowOff>
    </xdr:from>
    <xdr:to>
      <xdr:col>97</xdr:col>
      <xdr:colOff>183930</xdr:colOff>
      <xdr:row>19</xdr:row>
      <xdr:rowOff>201762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2FCE9B4-59B6-43A1-963F-9B7F87587482}"/>
            </a:ext>
          </a:extLst>
        </xdr:cNvPr>
        <xdr:cNvCxnSpPr/>
      </xdr:nvCxnSpPr>
      <xdr:spPr>
        <a:xfrm flipH="1">
          <a:off x="1458433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53384</xdr:colOff>
      <xdr:row>19</xdr:row>
      <xdr:rowOff>40520</xdr:rowOff>
    </xdr:from>
    <xdr:to>
      <xdr:col>98</xdr:col>
      <xdr:colOff>54780</xdr:colOff>
      <xdr:row>19</xdr:row>
      <xdr:rowOff>201762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A1B66EDF-774C-48D3-8F30-C6520576A2E3}"/>
            </a:ext>
          </a:extLst>
        </xdr:cNvPr>
        <xdr:cNvCxnSpPr/>
      </xdr:nvCxnSpPr>
      <xdr:spPr>
        <a:xfrm flipH="1">
          <a:off x="1468378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165884</xdr:colOff>
      <xdr:row>19</xdr:row>
      <xdr:rowOff>40520</xdr:rowOff>
    </xdr:from>
    <xdr:to>
      <xdr:col>98</xdr:col>
      <xdr:colOff>167280</xdr:colOff>
      <xdr:row>19</xdr:row>
      <xdr:rowOff>201762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3CED6CB6-6CB2-4954-956D-02408579E030}"/>
            </a:ext>
          </a:extLst>
        </xdr:cNvPr>
        <xdr:cNvCxnSpPr/>
      </xdr:nvCxnSpPr>
      <xdr:spPr>
        <a:xfrm flipH="1">
          <a:off x="1479628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44128</xdr:colOff>
      <xdr:row>19</xdr:row>
      <xdr:rowOff>40520</xdr:rowOff>
    </xdr:from>
    <xdr:to>
      <xdr:col>99</xdr:col>
      <xdr:colOff>45524</xdr:colOff>
      <xdr:row>19</xdr:row>
      <xdr:rowOff>201762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E7D71CFE-B55B-460E-A188-FC3805881DC3}"/>
            </a:ext>
          </a:extLst>
        </xdr:cNvPr>
        <xdr:cNvCxnSpPr/>
      </xdr:nvCxnSpPr>
      <xdr:spPr>
        <a:xfrm flipH="1">
          <a:off x="14903128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139456</xdr:colOff>
      <xdr:row>19</xdr:row>
      <xdr:rowOff>40520</xdr:rowOff>
    </xdr:from>
    <xdr:to>
      <xdr:col>99</xdr:col>
      <xdr:colOff>140852</xdr:colOff>
      <xdr:row>19</xdr:row>
      <xdr:rowOff>201762</xdr:rowOff>
    </xdr:to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8865E2B3-142B-4692-9520-2589A3D53E15}"/>
            </a:ext>
          </a:extLst>
        </xdr:cNvPr>
        <xdr:cNvCxnSpPr/>
      </xdr:nvCxnSpPr>
      <xdr:spPr>
        <a:xfrm flipH="1">
          <a:off x="14998456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12774</xdr:colOff>
      <xdr:row>19</xdr:row>
      <xdr:rowOff>40520</xdr:rowOff>
    </xdr:from>
    <xdr:to>
      <xdr:col>100</xdr:col>
      <xdr:colOff>14170</xdr:colOff>
      <xdr:row>19</xdr:row>
      <xdr:rowOff>201762</xdr:rowOff>
    </xdr:to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E73A2103-6419-4AC2-BF76-F136B9A6A3C4}"/>
            </a:ext>
          </a:extLst>
        </xdr:cNvPr>
        <xdr:cNvCxnSpPr/>
      </xdr:nvCxnSpPr>
      <xdr:spPr>
        <a:xfrm flipH="1">
          <a:off x="1510037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121180</xdr:colOff>
      <xdr:row>19</xdr:row>
      <xdr:rowOff>40520</xdr:rowOff>
    </xdr:from>
    <xdr:to>
      <xdr:col>100</xdr:col>
      <xdr:colOff>122576</xdr:colOff>
      <xdr:row>19</xdr:row>
      <xdr:rowOff>201762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9CF2C56B-43B4-49E8-8C15-8F9E0F3DCE7B}"/>
            </a:ext>
          </a:extLst>
        </xdr:cNvPr>
        <xdr:cNvCxnSpPr/>
      </xdr:nvCxnSpPr>
      <xdr:spPr>
        <a:xfrm flipH="1">
          <a:off x="15208780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222024</xdr:colOff>
      <xdr:row>19</xdr:row>
      <xdr:rowOff>40520</xdr:rowOff>
    </xdr:from>
    <xdr:to>
      <xdr:col>100</xdr:col>
      <xdr:colOff>223420</xdr:colOff>
      <xdr:row>19</xdr:row>
      <xdr:rowOff>201762</xdr:rowOff>
    </xdr:to>
    <xdr:cxnSp macro="">
      <xdr:nvCxnSpPr>
        <xdr:cNvPr id="138" name="直線コネクタ 137">
          <a:extLst>
            <a:ext uri="{FF2B5EF4-FFF2-40B4-BE49-F238E27FC236}">
              <a16:creationId xmlns:a16="http://schemas.microsoft.com/office/drawing/2014/main" id="{E7CB7862-D24F-43A1-8752-C9A5B5F3046F}"/>
            </a:ext>
          </a:extLst>
        </xdr:cNvPr>
        <xdr:cNvCxnSpPr/>
      </xdr:nvCxnSpPr>
      <xdr:spPr>
        <a:xfrm flipH="1">
          <a:off x="15309624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102768</xdr:colOff>
      <xdr:row>19</xdr:row>
      <xdr:rowOff>40520</xdr:rowOff>
    </xdr:from>
    <xdr:to>
      <xdr:col>101</xdr:col>
      <xdr:colOff>104164</xdr:colOff>
      <xdr:row>19</xdr:row>
      <xdr:rowOff>201762</xdr:rowOff>
    </xdr:to>
    <xdr:cxnSp macro="">
      <xdr:nvCxnSpPr>
        <xdr:cNvPr id="139" name="直線コネクタ 138">
          <a:extLst>
            <a:ext uri="{FF2B5EF4-FFF2-40B4-BE49-F238E27FC236}">
              <a16:creationId xmlns:a16="http://schemas.microsoft.com/office/drawing/2014/main" id="{2EFACE54-9B86-4CEC-88F9-3F2CDEB1D1C8}"/>
            </a:ext>
          </a:extLst>
        </xdr:cNvPr>
        <xdr:cNvCxnSpPr/>
      </xdr:nvCxnSpPr>
      <xdr:spPr>
        <a:xfrm flipH="1">
          <a:off x="15418968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227055</xdr:colOff>
      <xdr:row>19</xdr:row>
      <xdr:rowOff>40520</xdr:rowOff>
    </xdr:from>
    <xdr:to>
      <xdr:col>102</xdr:col>
      <xdr:colOff>1463</xdr:colOff>
      <xdr:row>19</xdr:row>
      <xdr:rowOff>201762</xdr:rowOff>
    </xdr:to>
    <xdr:cxnSp macro="">
      <xdr:nvCxnSpPr>
        <xdr:cNvPr id="140" name="直線コネクタ 139">
          <a:extLst>
            <a:ext uri="{FF2B5EF4-FFF2-40B4-BE49-F238E27FC236}">
              <a16:creationId xmlns:a16="http://schemas.microsoft.com/office/drawing/2014/main" id="{687B3F1C-5828-4E5E-A733-E57DADEF9E8B}"/>
            </a:ext>
          </a:extLst>
        </xdr:cNvPr>
        <xdr:cNvCxnSpPr/>
      </xdr:nvCxnSpPr>
      <xdr:spPr>
        <a:xfrm flipH="1">
          <a:off x="15543255" y="4383920"/>
          <a:ext cx="238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102</xdr:col>
      <xdr:colOff>110620</xdr:colOff>
      <xdr:row>19</xdr:row>
      <xdr:rowOff>40520</xdr:rowOff>
    </xdr:from>
    <xdr:to>
      <xdr:col>102</xdr:col>
      <xdr:colOff>112016</xdr:colOff>
      <xdr:row>19</xdr:row>
      <xdr:rowOff>201762</xdr:rowOff>
    </xdr:to>
    <xdr:cxnSp macro="">
      <xdr:nvCxnSpPr>
        <xdr:cNvPr id="141" name="直線コネクタ 140">
          <a:extLst>
            <a:ext uri="{FF2B5EF4-FFF2-40B4-BE49-F238E27FC236}">
              <a16:creationId xmlns:a16="http://schemas.microsoft.com/office/drawing/2014/main" id="{C6242904-4FAB-42A9-B545-C21D7FA425CD}"/>
            </a:ext>
          </a:extLst>
        </xdr:cNvPr>
        <xdr:cNvCxnSpPr/>
      </xdr:nvCxnSpPr>
      <xdr:spPr>
        <a:xfrm flipH="1">
          <a:off x="15655420" y="4383920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102</xdr:col>
      <xdr:colOff>227057</xdr:colOff>
      <xdr:row>19</xdr:row>
      <xdr:rowOff>40520</xdr:rowOff>
    </xdr:from>
    <xdr:to>
      <xdr:col>103</xdr:col>
      <xdr:colOff>1462</xdr:colOff>
      <xdr:row>19</xdr:row>
      <xdr:rowOff>201762</xdr:rowOff>
    </xdr:to>
    <xdr:cxnSp macro="">
      <xdr:nvCxnSpPr>
        <xdr:cNvPr id="142" name="直線コネクタ 141">
          <a:extLst>
            <a:ext uri="{FF2B5EF4-FFF2-40B4-BE49-F238E27FC236}">
              <a16:creationId xmlns:a16="http://schemas.microsoft.com/office/drawing/2014/main" id="{D44E5975-F0D6-40CD-A322-2B06394BCB06}"/>
            </a:ext>
          </a:extLst>
        </xdr:cNvPr>
        <xdr:cNvCxnSpPr/>
      </xdr:nvCxnSpPr>
      <xdr:spPr>
        <a:xfrm flipH="1">
          <a:off x="15771857" y="4383920"/>
          <a:ext cx="2385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89</xdr:col>
      <xdr:colOff>102007</xdr:colOff>
      <xdr:row>22</xdr:row>
      <xdr:rowOff>228402</xdr:rowOff>
    </xdr:from>
    <xdr:ext cx="224998" cy="444352"/>
    <xdr:sp macro="" textlink="$AF$3">
      <xdr:nvSpPr>
        <xdr:cNvPr id="143" name="テキスト ボックス 142">
          <a:extLst>
            <a:ext uri="{FF2B5EF4-FFF2-40B4-BE49-F238E27FC236}">
              <a16:creationId xmlns:a16="http://schemas.microsoft.com/office/drawing/2014/main" id="{E0D3E854-F024-4FF3-B913-403806F5D267}"/>
            </a:ext>
          </a:extLst>
        </xdr:cNvPr>
        <xdr:cNvSpPr txBox="1"/>
      </xdr:nvSpPr>
      <xdr:spPr>
        <a:xfrm rot="16200000">
          <a:off x="20337730" y="536727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9CD967-049C-4A91-903B-5C79BD75187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47477</xdr:colOff>
      <xdr:row>17</xdr:row>
      <xdr:rowOff>71746</xdr:rowOff>
    </xdr:from>
    <xdr:ext cx="444352" cy="224998"/>
    <xdr:sp macro="" textlink="$AF$4">
      <xdr:nvSpPr>
        <xdr:cNvPr id="144" name="テキスト ボックス 143">
          <a:extLst>
            <a:ext uri="{FF2B5EF4-FFF2-40B4-BE49-F238E27FC236}">
              <a16:creationId xmlns:a16="http://schemas.microsoft.com/office/drawing/2014/main" id="{1236AF09-991A-47F2-A80F-2423FD214829}"/>
            </a:ext>
          </a:extLst>
        </xdr:cNvPr>
        <xdr:cNvSpPr txBox="1"/>
      </xdr:nvSpPr>
      <xdr:spPr>
        <a:xfrm>
          <a:off x="14220677" y="39579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CBAA683-5411-4221-B397-94521DA35B85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92</xdr:col>
      <xdr:colOff>171779</xdr:colOff>
      <xdr:row>30</xdr:row>
      <xdr:rowOff>229761</xdr:rowOff>
    </xdr:from>
    <xdr:ext cx="444352" cy="224998"/>
    <xdr:sp macro="" textlink="$AF$5">
      <xdr:nvSpPr>
        <xdr:cNvPr id="145" name="テキスト ボックス 144">
          <a:extLst>
            <a:ext uri="{FF2B5EF4-FFF2-40B4-BE49-F238E27FC236}">
              <a16:creationId xmlns:a16="http://schemas.microsoft.com/office/drawing/2014/main" id="{061C7FE9-7306-41DB-BE8B-BA79BD5D05B2}"/>
            </a:ext>
          </a:extLst>
        </xdr:cNvPr>
        <xdr:cNvSpPr txBox="1"/>
      </xdr:nvSpPr>
      <xdr:spPr>
        <a:xfrm>
          <a:off x="13430579" y="708776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524262D-6895-411D-A697-1FAABA92A8A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108044</xdr:colOff>
      <xdr:row>19</xdr:row>
      <xdr:rowOff>220607</xdr:rowOff>
    </xdr:from>
    <xdr:to>
      <xdr:col>97</xdr:col>
      <xdr:colOff>52046</xdr:colOff>
      <xdr:row>19</xdr:row>
      <xdr:rowOff>220607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AEAACCCB-CDEB-4881-90BE-CEDA835A264D}"/>
            </a:ext>
          </a:extLst>
        </xdr:cNvPr>
        <xdr:cNvCxnSpPr/>
      </xdr:nvCxnSpPr>
      <xdr:spPr>
        <a:xfrm>
          <a:off x="14052644" y="4564007"/>
          <a:ext cx="40120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89</xdr:col>
      <xdr:colOff>176278</xdr:colOff>
      <xdr:row>19</xdr:row>
      <xdr:rowOff>219970</xdr:rowOff>
    </xdr:from>
    <xdr:to>
      <xdr:col>94</xdr:col>
      <xdr:colOff>130501</xdr:colOff>
      <xdr:row>19</xdr:row>
      <xdr:rowOff>219970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1F652B74-A57E-4D80-976A-1E9F79546A56}"/>
            </a:ext>
          </a:extLst>
        </xdr:cNvPr>
        <xdr:cNvCxnSpPr/>
      </xdr:nvCxnSpPr>
      <xdr:spPr>
        <a:xfrm>
          <a:off x="12749278" y="4563370"/>
          <a:ext cx="109722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89</xdr:col>
      <xdr:colOff>225142</xdr:colOff>
      <xdr:row>29</xdr:row>
      <xdr:rowOff>76972</xdr:rowOff>
    </xdr:from>
    <xdr:to>
      <xdr:col>92</xdr:col>
      <xdr:colOff>57150</xdr:colOff>
      <xdr:row>29</xdr:row>
      <xdr:rowOff>76972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BA60BE88-95AA-4A7A-926F-FD5BA2DA6087}"/>
            </a:ext>
          </a:extLst>
        </xdr:cNvPr>
        <xdr:cNvCxnSpPr/>
      </xdr:nvCxnSpPr>
      <xdr:spPr>
        <a:xfrm>
          <a:off x="12798142" y="6706372"/>
          <a:ext cx="517808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156061</xdr:colOff>
      <xdr:row>30</xdr:row>
      <xdr:rowOff>216473</xdr:rowOff>
    </xdr:from>
    <xdr:to>
      <xdr:col>94</xdr:col>
      <xdr:colOff>172064</xdr:colOff>
      <xdr:row>30</xdr:row>
      <xdr:rowOff>216473</xdr:rowOff>
    </xdr:to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08E940BE-E7DB-4B4F-8C07-8AFF4B3D960E}"/>
            </a:ext>
          </a:extLst>
        </xdr:cNvPr>
        <xdr:cNvCxnSpPr/>
      </xdr:nvCxnSpPr>
      <xdr:spPr>
        <a:xfrm>
          <a:off x="13414861" y="7074473"/>
          <a:ext cx="47320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153659</xdr:colOff>
      <xdr:row>29</xdr:row>
      <xdr:rowOff>115094</xdr:rowOff>
    </xdr:from>
    <xdr:to>
      <xdr:col>92</xdr:col>
      <xdr:colOff>153659</xdr:colOff>
      <xdr:row>31</xdr:row>
      <xdr:rowOff>27787</xdr:rowOff>
    </xdr:to>
    <xdr:cxnSp macro="">
      <xdr:nvCxnSpPr>
        <xdr:cNvPr id="150" name="直線コネクタ 149">
          <a:extLst>
            <a:ext uri="{FF2B5EF4-FFF2-40B4-BE49-F238E27FC236}">
              <a16:creationId xmlns:a16="http://schemas.microsoft.com/office/drawing/2014/main" id="{8AEC388A-0E7F-4563-89DA-2B18D9EC737E}"/>
            </a:ext>
          </a:extLst>
        </xdr:cNvPr>
        <xdr:cNvCxnSpPr/>
      </xdr:nvCxnSpPr>
      <xdr:spPr>
        <a:xfrm>
          <a:off x="13412459" y="6744494"/>
          <a:ext cx="0" cy="3698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134711</xdr:colOff>
      <xdr:row>19</xdr:row>
      <xdr:rowOff>221866</xdr:rowOff>
    </xdr:from>
    <xdr:to>
      <xdr:col>97</xdr:col>
      <xdr:colOff>51523</xdr:colOff>
      <xdr:row>28</xdr:row>
      <xdr:rowOff>205112</xdr:rowOff>
    </xdr:to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8FC38A28-ABB9-406D-8783-3C64E61931EA}"/>
            </a:ext>
          </a:extLst>
        </xdr:cNvPr>
        <xdr:cNvCxnSpPr/>
      </xdr:nvCxnSpPr>
      <xdr:spPr>
        <a:xfrm flipH="1">
          <a:off x="13850711" y="4565266"/>
          <a:ext cx="602612" cy="204064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169096</xdr:colOff>
      <xdr:row>30</xdr:row>
      <xdr:rowOff>99585</xdr:rowOff>
    </xdr:from>
    <xdr:to>
      <xdr:col>94</xdr:col>
      <xdr:colOff>169096</xdr:colOff>
      <xdr:row>31</xdr:row>
      <xdr:rowOff>51924</xdr:rowOff>
    </xdr:to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2587883F-B4A9-4617-8C99-FCB540841F94}"/>
            </a:ext>
          </a:extLst>
        </xdr:cNvPr>
        <xdr:cNvCxnSpPr/>
      </xdr:nvCxnSpPr>
      <xdr:spPr>
        <a:xfrm>
          <a:off x="13885096" y="6957585"/>
          <a:ext cx="0" cy="1809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193402</xdr:colOff>
      <xdr:row>19</xdr:row>
      <xdr:rowOff>217103</xdr:rowOff>
    </xdr:from>
    <xdr:to>
      <xdr:col>95</xdr:col>
      <xdr:colOff>107277</xdr:colOff>
      <xdr:row>28</xdr:row>
      <xdr:rowOff>204703</xdr:rowOff>
    </xdr:to>
    <xdr:cxnSp macro="">
      <xdr:nvCxnSpPr>
        <xdr:cNvPr id="153" name="直線コネクタ 152">
          <a:extLst>
            <a:ext uri="{FF2B5EF4-FFF2-40B4-BE49-F238E27FC236}">
              <a16:creationId xmlns:a16="http://schemas.microsoft.com/office/drawing/2014/main" id="{825E0167-D26E-4A7A-8D60-1AFA65B55D6E}"/>
            </a:ext>
          </a:extLst>
        </xdr:cNvPr>
        <xdr:cNvCxnSpPr/>
      </xdr:nvCxnSpPr>
      <xdr:spPr>
        <a:xfrm flipH="1">
          <a:off x="13452202" y="4560503"/>
          <a:ext cx="599675" cy="2045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147068</xdr:colOff>
      <xdr:row>28</xdr:row>
      <xdr:rowOff>209057</xdr:rowOff>
    </xdr:from>
    <xdr:to>
      <xdr:col>94</xdr:col>
      <xdr:colOff>163071</xdr:colOff>
      <xdr:row>29</xdr:row>
      <xdr:rowOff>72128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7BD8D4E9-0837-4AC5-AA78-AEAAAD6B8B1C}"/>
            </a:ext>
          </a:extLst>
        </xdr:cNvPr>
        <xdr:cNvSpPr/>
      </xdr:nvSpPr>
      <xdr:spPr>
        <a:xfrm>
          <a:off x="13405868" y="6609857"/>
          <a:ext cx="473203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90</xdr:col>
      <xdr:colOff>47931</xdr:colOff>
      <xdr:row>19</xdr:row>
      <xdr:rowOff>220796</xdr:rowOff>
    </xdr:from>
    <xdr:to>
      <xdr:col>90</xdr:col>
      <xdr:colOff>47931</xdr:colOff>
      <xdr:row>29</xdr:row>
      <xdr:rowOff>80538</xdr:rowOff>
    </xdr:to>
    <xdr:cxnSp macro="">
      <xdr:nvCxnSpPr>
        <xdr:cNvPr id="155" name="直線コネクタ 154">
          <a:extLst>
            <a:ext uri="{FF2B5EF4-FFF2-40B4-BE49-F238E27FC236}">
              <a16:creationId xmlns:a16="http://schemas.microsoft.com/office/drawing/2014/main" id="{00B8EAAB-0906-4601-8B04-E6A1341FD989}"/>
            </a:ext>
          </a:extLst>
        </xdr:cNvPr>
        <xdr:cNvCxnSpPr/>
      </xdr:nvCxnSpPr>
      <xdr:spPr>
        <a:xfrm>
          <a:off x="12849531" y="4564196"/>
          <a:ext cx="0" cy="21457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43997</xdr:colOff>
      <xdr:row>20</xdr:row>
      <xdr:rowOff>89627</xdr:rowOff>
    </xdr:from>
    <xdr:to>
      <xdr:col>96</xdr:col>
      <xdr:colOff>150557</xdr:colOff>
      <xdr:row>28</xdr:row>
      <xdr:rowOff>195587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19DD6E1A-9FDD-49AB-A889-4853C45E97CF}"/>
            </a:ext>
          </a:extLst>
        </xdr:cNvPr>
        <xdr:cNvCxnSpPr/>
      </xdr:nvCxnSpPr>
      <xdr:spPr>
        <a:xfrm flipH="1">
          <a:off x="13759997" y="4661627"/>
          <a:ext cx="563760" cy="193476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93</xdr:col>
      <xdr:colOff>68005</xdr:colOff>
      <xdr:row>27</xdr:row>
      <xdr:rowOff>69032</xdr:rowOff>
    </xdr:from>
    <xdr:to>
      <xdr:col>94</xdr:col>
      <xdr:colOff>147918</xdr:colOff>
      <xdr:row>27</xdr:row>
      <xdr:rowOff>69032</xdr:rowOff>
    </xdr:to>
    <xdr:cxnSp macro="">
      <xdr:nvCxnSpPr>
        <xdr:cNvPr id="157" name="直線コネクタ 156">
          <a:extLst>
            <a:ext uri="{FF2B5EF4-FFF2-40B4-BE49-F238E27FC236}">
              <a16:creationId xmlns:a16="http://schemas.microsoft.com/office/drawing/2014/main" id="{1209FC55-EECB-4AEF-9D8B-40825668437D}"/>
            </a:ext>
          </a:extLst>
        </xdr:cNvPr>
        <xdr:cNvCxnSpPr/>
      </xdr:nvCxnSpPr>
      <xdr:spPr>
        <a:xfrm>
          <a:off x="13555405" y="6241232"/>
          <a:ext cx="30851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93</xdr:col>
      <xdr:colOff>168154</xdr:colOff>
      <xdr:row>25</xdr:row>
      <xdr:rowOff>202342</xdr:rowOff>
    </xdr:from>
    <xdr:to>
      <xdr:col>95</xdr:col>
      <xdr:colOff>23201</xdr:colOff>
      <xdr:row>25</xdr:row>
      <xdr:rowOff>202342</xdr:rowOff>
    </xdr:to>
    <xdr:cxnSp macro="">
      <xdr:nvCxnSpPr>
        <xdr:cNvPr id="158" name="直線コネクタ 157">
          <a:extLst>
            <a:ext uri="{FF2B5EF4-FFF2-40B4-BE49-F238E27FC236}">
              <a16:creationId xmlns:a16="http://schemas.microsoft.com/office/drawing/2014/main" id="{C58BD15F-CD01-4CC2-ABD2-D6E5D524C369}"/>
            </a:ext>
          </a:extLst>
        </xdr:cNvPr>
        <xdr:cNvCxnSpPr/>
      </xdr:nvCxnSpPr>
      <xdr:spPr>
        <a:xfrm>
          <a:off x="13655554" y="5917342"/>
          <a:ext cx="31224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39085</xdr:colOff>
      <xdr:row>24</xdr:row>
      <xdr:rowOff>69457</xdr:rowOff>
    </xdr:from>
    <xdr:to>
      <xdr:col>95</xdr:col>
      <xdr:colOff>117862</xdr:colOff>
      <xdr:row>24</xdr:row>
      <xdr:rowOff>69457</xdr:rowOff>
    </xdr:to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B3E00308-0AD4-4553-9C69-F8337D6EBBD8}"/>
            </a:ext>
          </a:extLst>
        </xdr:cNvPr>
        <xdr:cNvCxnSpPr/>
      </xdr:nvCxnSpPr>
      <xdr:spPr>
        <a:xfrm>
          <a:off x="13755085" y="5555857"/>
          <a:ext cx="30737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142453</xdr:colOff>
      <xdr:row>22</xdr:row>
      <xdr:rowOff>188740</xdr:rowOff>
    </xdr:from>
    <xdr:to>
      <xdr:col>96</xdr:col>
      <xdr:colOff>11</xdr:colOff>
      <xdr:row>22</xdr:row>
      <xdr:rowOff>188740</xdr:rowOff>
    </xdr:to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1D237194-9F8C-4C93-A96F-5F224394658C}"/>
            </a:ext>
          </a:extLst>
        </xdr:cNvPr>
        <xdr:cNvCxnSpPr/>
      </xdr:nvCxnSpPr>
      <xdr:spPr>
        <a:xfrm>
          <a:off x="13858453" y="5217940"/>
          <a:ext cx="31475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26444</xdr:colOff>
      <xdr:row>21</xdr:row>
      <xdr:rowOff>61171</xdr:rowOff>
    </xdr:from>
    <xdr:to>
      <xdr:col>96</xdr:col>
      <xdr:colOff>105223</xdr:colOff>
      <xdr:row>21</xdr:row>
      <xdr:rowOff>61171</xdr:rowOff>
    </xdr:to>
    <xdr:cxnSp macro="">
      <xdr:nvCxnSpPr>
        <xdr:cNvPr id="161" name="直線コネクタ 160">
          <a:extLst>
            <a:ext uri="{FF2B5EF4-FFF2-40B4-BE49-F238E27FC236}">
              <a16:creationId xmlns:a16="http://schemas.microsoft.com/office/drawing/2014/main" id="{B4DDF65F-0EB5-40BD-8E7B-6C2122A922F0}"/>
            </a:ext>
          </a:extLst>
        </xdr:cNvPr>
        <xdr:cNvCxnSpPr/>
      </xdr:nvCxnSpPr>
      <xdr:spPr>
        <a:xfrm>
          <a:off x="13971044" y="4861771"/>
          <a:ext cx="30737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64091</xdr:colOff>
      <xdr:row>20</xdr:row>
      <xdr:rowOff>93653</xdr:rowOff>
    </xdr:from>
    <xdr:to>
      <xdr:col>97</xdr:col>
      <xdr:colOff>25682</xdr:colOff>
      <xdr:row>20</xdr:row>
      <xdr:rowOff>93653</xdr:rowOff>
    </xdr:to>
    <xdr:cxnSp macro="">
      <xdr:nvCxnSpPr>
        <xdr:cNvPr id="162" name="直線コネクタ 161">
          <a:extLst>
            <a:ext uri="{FF2B5EF4-FFF2-40B4-BE49-F238E27FC236}">
              <a16:creationId xmlns:a16="http://schemas.microsoft.com/office/drawing/2014/main" id="{7BE4BB2F-1D29-450A-8A85-8016F9A73C93}"/>
            </a:ext>
          </a:extLst>
        </xdr:cNvPr>
        <xdr:cNvCxnSpPr/>
      </xdr:nvCxnSpPr>
      <xdr:spPr>
        <a:xfrm>
          <a:off x="14008691" y="4665653"/>
          <a:ext cx="41879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113246</xdr:colOff>
      <xdr:row>18</xdr:row>
      <xdr:rowOff>87152</xdr:rowOff>
    </xdr:from>
    <xdr:to>
      <xdr:col>97</xdr:col>
      <xdr:colOff>61603</xdr:colOff>
      <xdr:row>18</xdr:row>
      <xdr:rowOff>87152</xdr:rowOff>
    </xdr:to>
    <xdr:cxnSp macro="">
      <xdr:nvCxnSpPr>
        <xdr:cNvPr id="163" name="直線コネクタ 162">
          <a:extLst>
            <a:ext uri="{FF2B5EF4-FFF2-40B4-BE49-F238E27FC236}">
              <a16:creationId xmlns:a16="http://schemas.microsoft.com/office/drawing/2014/main" id="{57FCE2BB-1275-41AB-A9F0-E9D778D9635D}"/>
            </a:ext>
          </a:extLst>
        </xdr:cNvPr>
        <xdr:cNvCxnSpPr/>
      </xdr:nvCxnSpPr>
      <xdr:spPr>
        <a:xfrm>
          <a:off x="14057846" y="4201952"/>
          <a:ext cx="40555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110844</xdr:colOff>
      <xdr:row>18</xdr:row>
      <xdr:rowOff>66308</xdr:rowOff>
    </xdr:from>
    <xdr:to>
      <xdr:col>95</xdr:col>
      <xdr:colOff>110844</xdr:colOff>
      <xdr:row>19</xdr:row>
      <xdr:rowOff>28999</xdr:rowOff>
    </xdr:to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C9341F07-35AF-42FF-AF68-B7ABAFF0D75E}"/>
            </a:ext>
          </a:extLst>
        </xdr:cNvPr>
        <xdr:cNvCxnSpPr/>
      </xdr:nvCxnSpPr>
      <xdr:spPr>
        <a:xfrm>
          <a:off x="14055444" y="4181108"/>
          <a:ext cx="0" cy="19129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185282</xdr:colOff>
      <xdr:row>19</xdr:row>
      <xdr:rowOff>185735</xdr:rowOff>
    </xdr:from>
    <xdr:ext cx="224998" cy="213520"/>
    <xdr:sp macro="" textlink="$T$10">
      <xdr:nvSpPr>
        <xdr:cNvPr id="165" name="テキスト ボックス 164">
          <a:extLst>
            <a:ext uri="{FF2B5EF4-FFF2-40B4-BE49-F238E27FC236}">
              <a16:creationId xmlns:a16="http://schemas.microsoft.com/office/drawing/2014/main" id="{0C228FAC-0C71-41E3-981B-A473192D5EBE}"/>
            </a:ext>
          </a:extLst>
        </xdr:cNvPr>
        <xdr:cNvSpPr txBox="1"/>
      </xdr:nvSpPr>
      <xdr:spPr>
        <a:xfrm rot="16200000">
          <a:off x="14821421" y="4523396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98073</xdr:colOff>
      <xdr:row>28</xdr:row>
      <xdr:rowOff>204333</xdr:rowOff>
    </xdr:from>
    <xdr:to>
      <xdr:col>94</xdr:col>
      <xdr:colOff>129084</xdr:colOff>
      <xdr:row>29</xdr:row>
      <xdr:rowOff>69459</xdr:rowOff>
    </xdr:to>
    <xdr:cxnSp macro="">
      <xdr:nvCxnSpPr>
        <xdr:cNvPr id="166" name="直線コネクタ 165">
          <a:extLst>
            <a:ext uri="{FF2B5EF4-FFF2-40B4-BE49-F238E27FC236}">
              <a16:creationId xmlns:a16="http://schemas.microsoft.com/office/drawing/2014/main" id="{99D1BCDC-21EA-4D53-A51C-BDDACF732D35}"/>
            </a:ext>
          </a:extLst>
        </xdr:cNvPr>
        <xdr:cNvCxnSpPr/>
      </xdr:nvCxnSpPr>
      <xdr:spPr>
        <a:xfrm flipH="1">
          <a:off x="13814073" y="6605133"/>
          <a:ext cx="31011" cy="93726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146754</xdr:colOff>
      <xdr:row>23</xdr:row>
      <xdr:rowOff>115428</xdr:rowOff>
    </xdr:from>
    <xdr:ext cx="285527" cy="357790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A077A9FD-B591-44C8-BC11-7FA0FDAB459C}"/>
            </a:ext>
          </a:extLst>
        </xdr:cNvPr>
        <xdr:cNvSpPr txBox="1"/>
      </xdr:nvSpPr>
      <xdr:spPr>
        <a:xfrm rot="17160000">
          <a:off x="14055223" y="5409359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96</xdr:col>
      <xdr:colOff>200</xdr:colOff>
      <xdr:row>22</xdr:row>
      <xdr:rowOff>220372</xdr:rowOff>
    </xdr:from>
    <xdr:ext cx="224998" cy="328936"/>
    <xdr:sp macro="" textlink="$AF$8">
      <xdr:nvSpPr>
        <xdr:cNvPr id="168" name="テキスト ボックス 167">
          <a:extLst>
            <a:ext uri="{FF2B5EF4-FFF2-40B4-BE49-F238E27FC236}">
              <a16:creationId xmlns:a16="http://schemas.microsoft.com/office/drawing/2014/main" id="{28820C4B-B14C-444F-9352-27BBE7F5E015}"/>
            </a:ext>
          </a:extLst>
        </xdr:cNvPr>
        <xdr:cNvSpPr txBox="1"/>
      </xdr:nvSpPr>
      <xdr:spPr>
        <a:xfrm rot="17160000">
          <a:off x="14121431" y="5301541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D3AC5E-1C94-4B9A-9B96-1DC5F6FB9B2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91</xdr:col>
      <xdr:colOff>209550</xdr:colOff>
      <xdr:row>28</xdr:row>
      <xdr:rowOff>210727</xdr:rowOff>
    </xdr:from>
    <xdr:to>
      <xdr:col>92</xdr:col>
      <xdr:colOff>60030</xdr:colOff>
      <xdr:row>28</xdr:row>
      <xdr:rowOff>210727</xdr:rowOff>
    </xdr:to>
    <xdr:cxnSp macro="">
      <xdr:nvCxnSpPr>
        <xdr:cNvPr id="169" name="直線コネクタ 168">
          <a:extLst>
            <a:ext uri="{FF2B5EF4-FFF2-40B4-BE49-F238E27FC236}">
              <a16:creationId xmlns:a16="http://schemas.microsoft.com/office/drawing/2014/main" id="{A37E8F2D-458A-4455-A5D8-80B06EDCB13C}"/>
            </a:ext>
          </a:extLst>
        </xdr:cNvPr>
        <xdr:cNvCxnSpPr/>
      </xdr:nvCxnSpPr>
      <xdr:spPr>
        <a:xfrm>
          <a:off x="13239750" y="6611527"/>
          <a:ext cx="7908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13358</xdr:colOff>
      <xdr:row>28</xdr:row>
      <xdr:rowOff>207645</xdr:rowOff>
    </xdr:from>
    <xdr:to>
      <xdr:col>92</xdr:col>
      <xdr:colOff>13358</xdr:colOff>
      <xdr:row>29</xdr:row>
      <xdr:rowOff>84592</xdr:rowOff>
    </xdr:to>
    <xdr:cxnSp macro="">
      <xdr:nvCxnSpPr>
        <xdr:cNvPr id="170" name="直線コネクタ 169">
          <a:extLst>
            <a:ext uri="{FF2B5EF4-FFF2-40B4-BE49-F238E27FC236}">
              <a16:creationId xmlns:a16="http://schemas.microsoft.com/office/drawing/2014/main" id="{0E98E278-8C14-4544-B7BF-A876138CD0C6}"/>
            </a:ext>
          </a:extLst>
        </xdr:cNvPr>
        <xdr:cNvCxnSpPr/>
      </xdr:nvCxnSpPr>
      <xdr:spPr>
        <a:xfrm>
          <a:off x="13272158" y="6608445"/>
          <a:ext cx="0" cy="10554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91</xdr:col>
      <xdr:colOff>20150</xdr:colOff>
      <xdr:row>27</xdr:row>
      <xdr:rowOff>191048</xdr:rowOff>
    </xdr:from>
    <xdr:ext cx="224998" cy="412164"/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952CD484-1B0E-4DD0-85D4-F7E0F48E09EE}"/>
            </a:ext>
          </a:extLst>
        </xdr:cNvPr>
        <xdr:cNvSpPr txBox="1"/>
      </xdr:nvSpPr>
      <xdr:spPr>
        <a:xfrm rot="16200000">
          <a:off x="12956767" y="6456831"/>
          <a:ext cx="4121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91</xdr:col>
      <xdr:colOff>20611</xdr:colOff>
      <xdr:row>26</xdr:row>
      <xdr:rowOff>135475</xdr:rowOff>
    </xdr:from>
    <xdr:ext cx="224998" cy="444352"/>
    <xdr:sp macro="" textlink="$CB$34">
      <xdr:nvSpPr>
        <xdr:cNvPr id="172" name="テキスト ボックス 171">
          <a:extLst>
            <a:ext uri="{FF2B5EF4-FFF2-40B4-BE49-F238E27FC236}">
              <a16:creationId xmlns:a16="http://schemas.microsoft.com/office/drawing/2014/main" id="{7380ACC0-4BEA-4C78-8082-B713B8953070}"/>
            </a:ext>
          </a:extLst>
        </xdr:cNvPr>
        <xdr:cNvSpPr txBox="1"/>
      </xdr:nvSpPr>
      <xdr:spPr>
        <a:xfrm rot="16200000">
          <a:off x="12941134" y="618875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73919FA-245C-479D-BACA-278297B503F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0.300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169096</xdr:colOff>
      <xdr:row>28</xdr:row>
      <xdr:rowOff>53474</xdr:rowOff>
    </xdr:from>
    <xdr:to>
      <xdr:col>94</xdr:col>
      <xdr:colOff>169096</xdr:colOff>
      <xdr:row>28</xdr:row>
      <xdr:rowOff>170165</xdr:rowOff>
    </xdr:to>
    <xdr:cxnSp macro="">
      <xdr:nvCxnSpPr>
        <xdr:cNvPr id="173" name="直線コネクタ 172">
          <a:extLst>
            <a:ext uri="{FF2B5EF4-FFF2-40B4-BE49-F238E27FC236}">
              <a16:creationId xmlns:a16="http://schemas.microsoft.com/office/drawing/2014/main" id="{DE513FAE-173C-456D-B746-B020F90ABEAD}"/>
            </a:ext>
          </a:extLst>
        </xdr:cNvPr>
        <xdr:cNvCxnSpPr/>
      </xdr:nvCxnSpPr>
      <xdr:spPr>
        <a:xfrm>
          <a:off x="13885096" y="6454274"/>
          <a:ext cx="0" cy="11669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122307</xdr:colOff>
      <xdr:row>28</xdr:row>
      <xdr:rowOff>43448</xdr:rowOff>
    </xdr:from>
    <xdr:to>
      <xdr:col>94</xdr:col>
      <xdr:colOff>122307</xdr:colOff>
      <xdr:row>28</xdr:row>
      <xdr:rowOff>168898</xdr:rowOff>
    </xdr:to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A0246C98-C993-4B66-BF1F-49DC267790BD}"/>
            </a:ext>
          </a:extLst>
        </xdr:cNvPr>
        <xdr:cNvCxnSpPr/>
      </xdr:nvCxnSpPr>
      <xdr:spPr>
        <a:xfrm>
          <a:off x="13838307" y="6444248"/>
          <a:ext cx="0" cy="1254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30079</xdr:colOff>
      <xdr:row>28</xdr:row>
      <xdr:rowOff>82788</xdr:rowOff>
    </xdr:from>
    <xdr:to>
      <xdr:col>94</xdr:col>
      <xdr:colOff>128618</xdr:colOff>
      <xdr:row>28</xdr:row>
      <xdr:rowOff>82788</xdr:rowOff>
    </xdr:to>
    <xdr:cxnSp macro="">
      <xdr:nvCxnSpPr>
        <xdr:cNvPr id="175" name="直線コネクタ 174">
          <a:extLst>
            <a:ext uri="{FF2B5EF4-FFF2-40B4-BE49-F238E27FC236}">
              <a16:creationId xmlns:a16="http://schemas.microsoft.com/office/drawing/2014/main" id="{3D881417-FEFF-4B5D-A1A3-229A56CA3AC3}"/>
            </a:ext>
          </a:extLst>
        </xdr:cNvPr>
        <xdr:cNvCxnSpPr/>
      </xdr:nvCxnSpPr>
      <xdr:spPr>
        <a:xfrm>
          <a:off x="13746079" y="6483588"/>
          <a:ext cx="98539" cy="0"/>
        </a:xfrm>
        <a:prstGeom prst="line">
          <a:avLst/>
        </a:prstGeom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160422</xdr:colOff>
      <xdr:row>28</xdr:row>
      <xdr:rowOff>82788</xdr:rowOff>
    </xdr:from>
    <xdr:to>
      <xdr:col>95</xdr:col>
      <xdr:colOff>31697</xdr:colOff>
      <xdr:row>28</xdr:row>
      <xdr:rowOff>82788</xdr:rowOff>
    </xdr:to>
    <xdr:cxnSp macro="">
      <xdr:nvCxnSpPr>
        <xdr:cNvPr id="176" name="直線コネクタ 175">
          <a:extLst>
            <a:ext uri="{FF2B5EF4-FFF2-40B4-BE49-F238E27FC236}">
              <a16:creationId xmlns:a16="http://schemas.microsoft.com/office/drawing/2014/main" id="{0E7763B7-04F0-4477-AC2A-F70D53185071}"/>
            </a:ext>
          </a:extLst>
        </xdr:cNvPr>
        <xdr:cNvCxnSpPr/>
      </xdr:nvCxnSpPr>
      <xdr:spPr>
        <a:xfrm>
          <a:off x="13876422" y="6483588"/>
          <a:ext cx="9987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132548</xdr:colOff>
      <xdr:row>27</xdr:row>
      <xdr:rowOff>104326</xdr:rowOff>
    </xdr:from>
    <xdr:ext cx="387607" cy="224998"/>
    <xdr:sp macro="" textlink="">
      <xdr:nvSpPr>
        <xdr:cNvPr id="177" name="テキスト ボックス 176">
          <a:extLst>
            <a:ext uri="{FF2B5EF4-FFF2-40B4-BE49-F238E27FC236}">
              <a16:creationId xmlns:a16="http://schemas.microsoft.com/office/drawing/2014/main" id="{6B3D4E8D-E691-4293-9249-99318FBDAA66}"/>
            </a:ext>
          </a:extLst>
        </xdr:cNvPr>
        <xdr:cNvSpPr txBox="1"/>
      </xdr:nvSpPr>
      <xdr:spPr>
        <a:xfrm>
          <a:off x="13848548" y="6276526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149257</xdr:colOff>
      <xdr:row>27</xdr:row>
      <xdr:rowOff>109540</xdr:rowOff>
    </xdr:from>
    <xdr:ext cx="444352" cy="224998"/>
    <xdr:sp macro="" textlink="$CJ$34">
      <xdr:nvSpPr>
        <xdr:cNvPr id="178" name="テキスト ボックス 177">
          <a:extLst>
            <a:ext uri="{FF2B5EF4-FFF2-40B4-BE49-F238E27FC236}">
              <a16:creationId xmlns:a16="http://schemas.microsoft.com/office/drawing/2014/main" id="{86049A11-1168-48DE-B24F-89B5356BADD5}"/>
            </a:ext>
          </a:extLst>
        </xdr:cNvPr>
        <xdr:cNvSpPr txBox="1"/>
      </xdr:nvSpPr>
      <xdr:spPr>
        <a:xfrm>
          <a:off x="14093857" y="628174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2D5410-D9AF-473D-8D35-04CD1FDDBDB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0.100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32</xdr:col>
      <xdr:colOff>122114</xdr:colOff>
      <xdr:row>15</xdr:row>
      <xdr:rowOff>158070</xdr:rowOff>
    </xdr:from>
    <xdr:to>
      <xdr:col>32</xdr:col>
      <xdr:colOff>122114</xdr:colOff>
      <xdr:row>21</xdr:row>
      <xdr:rowOff>118470</xdr:rowOff>
    </xdr:to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4E100E46-AA4F-E2A7-CB40-2AF2E4E294CF}"/>
            </a:ext>
          </a:extLst>
        </xdr:cNvPr>
        <xdr:cNvCxnSpPr/>
      </xdr:nvCxnSpPr>
      <xdr:spPr>
        <a:xfrm>
          <a:off x="7437314" y="3587070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143954</xdr:colOff>
      <xdr:row>15</xdr:row>
      <xdr:rowOff>156861</xdr:rowOff>
    </xdr:from>
    <xdr:to>
      <xdr:col>33</xdr:col>
      <xdr:colOff>159940</xdr:colOff>
      <xdr:row>15</xdr:row>
      <xdr:rowOff>156861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2BBC4ECD-F106-4E03-BED8-02FF5C1FB238}"/>
            </a:ext>
          </a:extLst>
        </xdr:cNvPr>
        <xdr:cNvCxnSpPr/>
      </xdr:nvCxnSpPr>
      <xdr:spPr>
        <a:xfrm>
          <a:off x="5401754" y="3585861"/>
          <a:ext cx="2301986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60361</xdr:colOff>
      <xdr:row>15</xdr:row>
      <xdr:rowOff>183703</xdr:rowOff>
    </xdr:from>
    <xdr:to>
      <xdr:col>31</xdr:col>
      <xdr:colOff>226256</xdr:colOff>
      <xdr:row>15</xdr:row>
      <xdr:rowOff>183703</xdr:rowOff>
    </xdr:to>
    <xdr:cxnSp macro="">
      <xdr:nvCxnSpPr>
        <xdr:cNvPr id="184" name="直線コネクタ 183">
          <a:extLst>
            <a:ext uri="{FF2B5EF4-FFF2-40B4-BE49-F238E27FC236}">
              <a16:creationId xmlns:a16="http://schemas.microsoft.com/office/drawing/2014/main" id="{CC8A4756-8B2D-4011-AD2C-26AC3FA5CA40}"/>
            </a:ext>
          </a:extLst>
        </xdr:cNvPr>
        <xdr:cNvCxnSpPr/>
      </xdr:nvCxnSpPr>
      <xdr:spPr>
        <a:xfrm>
          <a:off x="7146961" y="3612703"/>
          <a:ext cx="16589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100123</xdr:colOff>
      <xdr:row>15</xdr:row>
      <xdr:rowOff>208903</xdr:rowOff>
    </xdr:from>
    <xdr:to>
      <xdr:col>31</xdr:col>
      <xdr:colOff>191028</xdr:colOff>
      <xdr:row>15</xdr:row>
      <xdr:rowOff>208903</xdr:rowOff>
    </xdr:to>
    <xdr:cxnSp macro="">
      <xdr:nvCxnSpPr>
        <xdr:cNvPr id="185" name="直線コネクタ 184">
          <a:extLst>
            <a:ext uri="{FF2B5EF4-FFF2-40B4-BE49-F238E27FC236}">
              <a16:creationId xmlns:a16="http://schemas.microsoft.com/office/drawing/2014/main" id="{CEE079B6-3993-4538-B5BA-A4429CB443F2}"/>
            </a:ext>
          </a:extLst>
        </xdr:cNvPr>
        <xdr:cNvCxnSpPr/>
      </xdr:nvCxnSpPr>
      <xdr:spPr>
        <a:xfrm>
          <a:off x="7186723" y="3637903"/>
          <a:ext cx="9090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121513</xdr:colOff>
      <xdr:row>16</xdr:row>
      <xdr:rowOff>4366</xdr:rowOff>
    </xdr:from>
    <xdr:to>
      <xdr:col>31</xdr:col>
      <xdr:colOff>164291</xdr:colOff>
      <xdr:row>16</xdr:row>
      <xdr:rowOff>4366</xdr:rowOff>
    </xdr:to>
    <xdr:cxnSp macro="">
      <xdr:nvCxnSpPr>
        <xdr:cNvPr id="186" name="直線コネクタ 185">
          <a:extLst>
            <a:ext uri="{FF2B5EF4-FFF2-40B4-BE49-F238E27FC236}">
              <a16:creationId xmlns:a16="http://schemas.microsoft.com/office/drawing/2014/main" id="{6D20B667-2370-46E3-98E5-03284C06F9BE}"/>
            </a:ext>
          </a:extLst>
        </xdr:cNvPr>
        <xdr:cNvCxnSpPr/>
      </xdr:nvCxnSpPr>
      <xdr:spPr>
        <a:xfrm>
          <a:off x="7208113" y="3661966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100123</xdr:colOff>
      <xdr:row>15</xdr:row>
      <xdr:rowOff>111367</xdr:rowOff>
    </xdr:from>
    <xdr:to>
      <xdr:col>31</xdr:col>
      <xdr:colOff>183007</xdr:colOff>
      <xdr:row>15</xdr:row>
      <xdr:rowOff>156528</xdr:rowOff>
    </xdr:to>
    <xdr:sp macro="" textlink="">
      <xdr:nvSpPr>
        <xdr:cNvPr id="187" name="二等辺三角形 186">
          <a:extLst>
            <a:ext uri="{FF2B5EF4-FFF2-40B4-BE49-F238E27FC236}">
              <a16:creationId xmlns:a16="http://schemas.microsoft.com/office/drawing/2014/main" id="{53CEA400-975F-4230-95AF-AA68D7D9A9BC}"/>
            </a:ext>
          </a:extLst>
        </xdr:cNvPr>
        <xdr:cNvSpPr/>
      </xdr:nvSpPr>
      <xdr:spPr>
        <a:xfrm rot="10800000">
          <a:off x="7186723" y="3540367"/>
          <a:ext cx="82884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32</xdr:col>
      <xdr:colOff>107619</xdr:colOff>
      <xdr:row>18</xdr:row>
      <xdr:rowOff>19408</xdr:rowOff>
    </xdr:from>
    <xdr:ext cx="224998" cy="387607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FF1CA584-B88A-4DCA-A0AC-97B261896BC8}"/>
            </a:ext>
          </a:extLst>
        </xdr:cNvPr>
        <xdr:cNvSpPr txBox="1"/>
      </xdr:nvSpPr>
      <xdr:spPr>
        <a:xfrm rot="16200000">
          <a:off x="7341514" y="4215513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32</xdr:col>
      <xdr:colOff>127431</xdr:colOff>
      <xdr:row>16</xdr:row>
      <xdr:rowOff>170400</xdr:rowOff>
    </xdr:from>
    <xdr:ext cx="224998" cy="444352"/>
    <xdr:sp macro="" textlink="$AQ$9">
      <xdr:nvSpPr>
        <xdr:cNvPr id="189" name="テキスト ボックス 188">
          <a:extLst>
            <a:ext uri="{FF2B5EF4-FFF2-40B4-BE49-F238E27FC236}">
              <a16:creationId xmlns:a16="http://schemas.microsoft.com/office/drawing/2014/main" id="{1CAB4995-F701-62F4-AF91-3664D4DDF12D}"/>
            </a:ext>
          </a:extLst>
        </xdr:cNvPr>
        <xdr:cNvSpPr txBox="1"/>
      </xdr:nvSpPr>
      <xdr:spPr>
        <a:xfrm rot="16200000">
          <a:off x="7332954" y="393767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0971264-8161-4670-85A9-D138420ACEC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141044</xdr:colOff>
      <xdr:row>14</xdr:row>
      <xdr:rowOff>71452</xdr:rowOff>
    </xdr:from>
    <xdr:ext cx="322524" cy="224998"/>
    <xdr:sp macro="" textlink="">
      <xdr:nvSpPr>
        <xdr:cNvPr id="190" name="テキスト ボックス 189">
          <a:extLst>
            <a:ext uri="{FF2B5EF4-FFF2-40B4-BE49-F238E27FC236}">
              <a16:creationId xmlns:a16="http://schemas.microsoft.com/office/drawing/2014/main" id="{5D4EBBAE-7059-5FDB-C9DE-8F3FCDE39E1A}"/>
            </a:ext>
          </a:extLst>
        </xdr:cNvPr>
        <xdr:cNvSpPr txBox="1"/>
      </xdr:nvSpPr>
      <xdr:spPr>
        <a:xfrm>
          <a:off x="6507431" y="3254646"/>
          <a:ext cx="32252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91697</xdr:colOff>
      <xdr:row>15</xdr:row>
      <xdr:rowOff>43767</xdr:rowOff>
    </xdr:from>
    <xdr:to>
      <xdr:col>31</xdr:col>
      <xdr:colOff>304</xdr:colOff>
      <xdr:row>15</xdr:row>
      <xdr:rowOff>43767</xdr:rowOff>
    </xdr:to>
    <xdr:cxnSp macro="">
      <xdr:nvCxnSpPr>
        <xdr:cNvPr id="191" name="直線コネクタ 190">
          <a:extLst>
            <a:ext uri="{FF2B5EF4-FFF2-40B4-BE49-F238E27FC236}">
              <a16:creationId xmlns:a16="http://schemas.microsoft.com/office/drawing/2014/main" id="{53E29CBE-DA2B-97DF-DBD9-C6AFC7CB3AB7}"/>
            </a:ext>
          </a:extLst>
        </xdr:cNvPr>
        <xdr:cNvCxnSpPr/>
      </xdr:nvCxnSpPr>
      <xdr:spPr>
        <a:xfrm>
          <a:off x="6263897" y="3472767"/>
          <a:ext cx="82079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227574</xdr:colOff>
      <xdr:row>15</xdr:row>
      <xdr:rowOff>17132</xdr:rowOff>
    </xdr:from>
    <xdr:to>
      <xdr:col>31</xdr:col>
      <xdr:colOff>1183</xdr:colOff>
      <xdr:row>15</xdr:row>
      <xdr:rowOff>108449</xdr:rowOff>
    </xdr:to>
    <xdr:cxnSp macro="">
      <xdr:nvCxnSpPr>
        <xdr:cNvPr id="194" name="直線コネクタ 193">
          <a:extLst>
            <a:ext uri="{FF2B5EF4-FFF2-40B4-BE49-F238E27FC236}">
              <a16:creationId xmlns:a16="http://schemas.microsoft.com/office/drawing/2014/main" id="{434BED8E-FED9-5B1B-F2C0-A9CAE38B573F}"/>
            </a:ext>
          </a:extLst>
        </xdr:cNvPr>
        <xdr:cNvCxnSpPr/>
      </xdr:nvCxnSpPr>
      <xdr:spPr>
        <a:xfrm>
          <a:off x="7085574" y="3446132"/>
          <a:ext cx="0" cy="9131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90243</xdr:colOff>
      <xdr:row>15</xdr:row>
      <xdr:rowOff>17132</xdr:rowOff>
    </xdr:from>
    <xdr:to>
      <xdr:col>27</xdr:col>
      <xdr:colOff>90243</xdr:colOff>
      <xdr:row>15</xdr:row>
      <xdr:rowOff>108449</xdr:rowOff>
    </xdr:to>
    <xdr:cxnSp macro="">
      <xdr:nvCxnSpPr>
        <xdr:cNvPr id="197" name="直線コネクタ 196">
          <a:extLst>
            <a:ext uri="{FF2B5EF4-FFF2-40B4-BE49-F238E27FC236}">
              <a16:creationId xmlns:a16="http://schemas.microsoft.com/office/drawing/2014/main" id="{53AA13E7-D528-5926-09A2-C2A2993DCD66}"/>
            </a:ext>
          </a:extLst>
        </xdr:cNvPr>
        <xdr:cNvCxnSpPr/>
      </xdr:nvCxnSpPr>
      <xdr:spPr>
        <a:xfrm>
          <a:off x="6262443" y="3446132"/>
          <a:ext cx="0" cy="9131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200785</xdr:colOff>
      <xdr:row>2</xdr:row>
      <xdr:rowOff>169572</xdr:rowOff>
    </xdr:from>
    <xdr:ext cx="409788" cy="0"/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D2AE3B14-3E30-4F04-B2CC-74F4CCFB68E1}"/>
            </a:ext>
          </a:extLst>
        </xdr:cNvPr>
        <xdr:cNvCxnSpPr/>
      </xdr:nvCxnSpPr>
      <xdr:spPr>
        <a:xfrm>
          <a:off x="7128058" y="631390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223159</xdr:colOff>
      <xdr:row>2</xdr:row>
      <xdr:rowOff>170831</xdr:rowOff>
    </xdr:from>
    <xdr:ext cx="615492" cy="2116214"/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DB70AA8-B4D5-4C04-8110-9DE0F5EC2F61}"/>
            </a:ext>
          </a:extLst>
        </xdr:cNvPr>
        <xdr:cNvCxnSpPr/>
      </xdr:nvCxnSpPr>
      <xdr:spPr>
        <a:xfrm flipH="1">
          <a:off x="6919523" y="632649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83739</xdr:colOff>
      <xdr:row>31</xdr:row>
      <xdr:rowOff>1589</xdr:rowOff>
    </xdr:from>
    <xdr:ext cx="224998" cy="328936"/>
    <xdr:sp macro="" textlink="$AU$8">
      <xdr:nvSpPr>
        <xdr:cNvPr id="13" name="テキスト ボックス 12">
          <a:extLst>
            <a:ext uri="{FF2B5EF4-FFF2-40B4-BE49-F238E27FC236}">
              <a16:creationId xmlns:a16="http://schemas.microsoft.com/office/drawing/2014/main" id="{AC78CE85-A493-4C64-8D0F-437214F7A27B}"/>
            </a:ext>
          </a:extLst>
        </xdr:cNvPr>
        <xdr:cNvSpPr txBox="1"/>
      </xdr:nvSpPr>
      <xdr:spPr>
        <a:xfrm rot="17160000">
          <a:off x="15119370" y="4396958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7D1A670-5655-4477-ACF5-AE5B8136BCD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39560</xdr:colOff>
      <xdr:row>2</xdr:row>
      <xdr:rowOff>166068</xdr:rowOff>
    </xdr:from>
    <xdr:ext cx="616740" cy="2120568"/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1D1523DE-DE2A-4AF6-A4C1-B22F88FBD912}"/>
            </a:ext>
          </a:extLst>
        </xdr:cNvPr>
        <xdr:cNvCxnSpPr/>
      </xdr:nvCxnSpPr>
      <xdr:spPr>
        <a:xfrm flipH="1">
          <a:off x="6505015" y="627886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226930</xdr:colOff>
      <xdr:row>12</xdr:row>
      <xdr:rowOff>2682</xdr:rowOff>
    </xdr:from>
    <xdr:ext cx="481788" cy="91671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405A936C-D2C3-4D46-9E1F-F6F33C4CC20B}"/>
            </a:ext>
          </a:extLst>
        </xdr:cNvPr>
        <xdr:cNvSpPr/>
      </xdr:nvSpPr>
      <xdr:spPr>
        <a:xfrm>
          <a:off x="6461475" y="2773591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131310</xdr:colOff>
      <xdr:row>3</xdr:row>
      <xdr:rowOff>64445</xdr:rowOff>
    </xdr:from>
    <xdr:ext cx="573482" cy="1994000"/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87D905DF-038E-4D6A-BCC3-0CCDE2BA9ADF}"/>
            </a:ext>
          </a:extLst>
        </xdr:cNvPr>
        <xdr:cNvCxnSpPr/>
      </xdr:nvCxnSpPr>
      <xdr:spPr>
        <a:xfrm flipH="1">
          <a:off x="6827674" y="757172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152159</xdr:colOff>
      <xdr:row>10</xdr:row>
      <xdr:rowOff>93100</xdr:rowOff>
    </xdr:from>
    <xdr:ext cx="312805" cy="0"/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CE855F7C-240A-4D00-BDE3-ADB589631D8D}"/>
            </a:ext>
          </a:extLst>
        </xdr:cNvPr>
        <xdr:cNvCxnSpPr/>
      </xdr:nvCxnSpPr>
      <xdr:spPr>
        <a:xfrm>
          <a:off x="6617614" y="240219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22791</xdr:colOff>
      <xdr:row>8</xdr:row>
      <xdr:rowOff>201686</xdr:rowOff>
    </xdr:from>
    <xdr:ext cx="319700" cy="0"/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88425C1B-7F52-494F-A675-CC101B9AE511}"/>
            </a:ext>
          </a:extLst>
        </xdr:cNvPr>
        <xdr:cNvCxnSpPr/>
      </xdr:nvCxnSpPr>
      <xdr:spPr>
        <a:xfrm>
          <a:off x="6719155" y="2048959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126398</xdr:colOff>
      <xdr:row>7</xdr:row>
      <xdr:rowOff>68337</xdr:rowOff>
    </xdr:from>
    <xdr:ext cx="312806" cy="0"/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B835CF10-3C26-4B35-9ABA-AACD11F48A44}"/>
            </a:ext>
          </a:extLst>
        </xdr:cNvPr>
        <xdr:cNvCxnSpPr/>
      </xdr:nvCxnSpPr>
      <xdr:spPr>
        <a:xfrm>
          <a:off x="6822762" y="1684701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1383</xdr:colOff>
      <xdr:row>5</xdr:row>
      <xdr:rowOff>166034</xdr:rowOff>
    </xdr:from>
    <xdr:ext cx="310084" cy="0"/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D9E983A2-5080-472D-ABAE-83EFB4A28C37}"/>
            </a:ext>
          </a:extLst>
        </xdr:cNvPr>
        <xdr:cNvCxnSpPr/>
      </xdr:nvCxnSpPr>
      <xdr:spPr>
        <a:xfrm>
          <a:off x="6928656" y="1320579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118052</xdr:colOff>
      <xdr:row>4</xdr:row>
      <xdr:rowOff>33471</xdr:rowOff>
    </xdr:from>
    <xdr:ext cx="312805" cy="0"/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7C2F9198-4407-4DFD-A8AC-8C6D0F8BC9E0}"/>
            </a:ext>
          </a:extLst>
        </xdr:cNvPr>
        <xdr:cNvCxnSpPr/>
      </xdr:nvCxnSpPr>
      <xdr:spPr>
        <a:xfrm>
          <a:off x="7045325" y="95710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156832</xdr:colOff>
      <xdr:row>3</xdr:row>
      <xdr:rowOff>58946</xdr:rowOff>
    </xdr:from>
    <xdr:ext cx="426244" cy="0"/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4BE860F1-4388-4C4A-AACE-200FB3A57DF1}"/>
            </a:ext>
          </a:extLst>
        </xdr:cNvPr>
        <xdr:cNvCxnSpPr/>
      </xdr:nvCxnSpPr>
      <xdr:spPr>
        <a:xfrm>
          <a:off x="7084105" y="751673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224985</xdr:colOff>
      <xdr:row>6</xdr:row>
      <xdr:rowOff>134513</xdr:rowOff>
    </xdr:from>
    <xdr:ext cx="0" cy="1332000"/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4CAA6DDC-5D5D-4278-B23A-6E3CF4C1C7FB}"/>
            </a:ext>
          </a:extLst>
        </xdr:cNvPr>
        <xdr:cNvCxnSpPr/>
      </xdr:nvCxnSpPr>
      <xdr:spPr>
        <a:xfrm>
          <a:off x="7614076" y="1519968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167494</xdr:colOff>
      <xdr:row>6</xdr:row>
      <xdr:rowOff>141833</xdr:rowOff>
    </xdr:from>
    <xdr:ext cx="1558484" cy="0"/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82E2D629-4E6F-4030-B373-79F60C6E6968}"/>
            </a:ext>
          </a:extLst>
        </xdr:cNvPr>
        <xdr:cNvCxnSpPr/>
      </xdr:nvCxnSpPr>
      <xdr:spPr>
        <a:xfrm>
          <a:off x="6171130" y="1527288"/>
          <a:ext cx="155848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203566</xdr:colOff>
      <xdr:row>7</xdr:row>
      <xdr:rowOff>129877</xdr:rowOff>
    </xdr:from>
    <xdr:ext cx="224998" cy="444352"/>
    <xdr:sp macro="" textlink="$O$7">
      <xdr:nvSpPr>
        <xdr:cNvPr id="33" name="テキスト ボックス 32">
          <a:extLst>
            <a:ext uri="{FF2B5EF4-FFF2-40B4-BE49-F238E27FC236}">
              <a16:creationId xmlns:a16="http://schemas.microsoft.com/office/drawing/2014/main" id="{2A4F2625-D4DA-43E7-AE43-8D92F2148322}"/>
            </a:ext>
          </a:extLst>
        </xdr:cNvPr>
        <xdr:cNvSpPr txBox="1"/>
      </xdr:nvSpPr>
      <xdr:spPr>
        <a:xfrm rot="16200000">
          <a:off x="7482980" y="185591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5DBB1CF-64D1-4489-9E70-B0DA72EFF94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32</xdr:col>
      <xdr:colOff>197231</xdr:colOff>
      <xdr:row>8</xdr:row>
      <xdr:rowOff>211787</xdr:rowOff>
    </xdr:from>
    <xdr:ext cx="224998" cy="387607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42B596B0-4291-42B8-A077-6CD8AB1C23CA}"/>
            </a:ext>
          </a:extLst>
        </xdr:cNvPr>
        <xdr:cNvSpPr txBox="1"/>
      </xdr:nvSpPr>
      <xdr:spPr>
        <a:xfrm rot="16200000">
          <a:off x="7505017" y="2140365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31</xdr:col>
      <xdr:colOff>203254</xdr:colOff>
      <xdr:row>6</xdr:row>
      <xdr:rowOff>164306</xdr:rowOff>
    </xdr:from>
    <xdr:ext cx="164757" cy="0"/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BC8D292D-13CE-4A82-87BA-2EA7AA2D0703}"/>
            </a:ext>
          </a:extLst>
        </xdr:cNvPr>
        <xdr:cNvCxnSpPr/>
      </xdr:nvCxnSpPr>
      <xdr:spPr>
        <a:xfrm>
          <a:off x="7361436" y="1549761"/>
          <a:ext cx="16475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11431</xdr:colOff>
      <xdr:row>6</xdr:row>
      <xdr:rowOff>188369</xdr:rowOff>
    </xdr:from>
    <xdr:ext cx="91834" cy="0"/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727D3415-7410-4A56-AB82-5C1E4B8813B5}"/>
            </a:ext>
          </a:extLst>
        </xdr:cNvPr>
        <xdr:cNvCxnSpPr/>
      </xdr:nvCxnSpPr>
      <xdr:spPr>
        <a:xfrm>
          <a:off x="7400522" y="1573824"/>
          <a:ext cx="9183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32821</xdr:colOff>
      <xdr:row>6</xdr:row>
      <xdr:rowOff>211502</xdr:rowOff>
    </xdr:from>
    <xdr:ext cx="42778" cy="0"/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4A6B7468-8CAF-4E39-95BD-585D14A7221C}"/>
            </a:ext>
          </a:extLst>
        </xdr:cNvPr>
        <xdr:cNvCxnSpPr/>
      </xdr:nvCxnSpPr>
      <xdr:spPr>
        <a:xfrm>
          <a:off x="7421912" y="1596957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11431</xdr:colOff>
      <xdr:row>6</xdr:row>
      <xdr:rowOff>91678</xdr:rowOff>
    </xdr:from>
    <xdr:ext cx="83813" cy="43783"/>
    <xdr:sp macro="" textlink="">
      <xdr:nvSpPr>
        <xdr:cNvPr id="38" name="二等辺三角形 37">
          <a:extLst>
            <a:ext uri="{FF2B5EF4-FFF2-40B4-BE49-F238E27FC236}">
              <a16:creationId xmlns:a16="http://schemas.microsoft.com/office/drawing/2014/main" id="{CAB65B33-26B4-4646-B16E-F6B3B6BECA82}"/>
            </a:ext>
          </a:extLst>
        </xdr:cNvPr>
        <xdr:cNvSpPr/>
      </xdr:nvSpPr>
      <xdr:spPr>
        <a:xfrm rot="10800000">
          <a:off x="7400522" y="1477133"/>
          <a:ext cx="83813" cy="43783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163089</xdr:colOff>
      <xdr:row>12</xdr:row>
      <xdr:rowOff>94621</xdr:rowOff>
    </xdr:from>
    <xdr:ext cx="635637" cy="0"/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A2317339-F754-4742-9CEE-0833A21BA8BD}"/>
            </a:ext>
          </a:extLst>
        </xdr:cNvPr>
        <xdr:cNvCxnSpPr/>
      </xdr:nvCxnSpPr>
      <xdr:spPr>
        <a:xfrm>
          <a:off x="7090362" y="2865530"/>
          <a:ext cx="63563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12</xdr:row>
      <xdr:rowOff>94621</xdr:rowOff>
    </xdr:from>
    <xdr:ext cx="216000" cy="0"/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B5CE0267-0F07-B0CB-BAF4-348BE0B7AD1E}"/>
            </a:ext>
          </a:extLst>
        </xdr:cNvPr>
        <xdr:cNvCxnSpPr/>
      </xdr:nvCxnSpPr>
      <xdr:spPr>
        <a:xfrm>
          <a:off x="5801802" y="2865530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116241</xdr:colOff>
      <xdr:row>11</xdr:row>
      <xdr:rowOff>218236</xdr:rowOff>
    </xdr:from>
    <xdr:ext cx="0" cy="108000"/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019EC5C7-9E91-BDF7-40B8-85C1C37A2901}"/>
            </a:ext>
          </a:extLst>
        </xdr:cNvPr>
        <xdr:cNvCxnSpPr/>
      </xdr:nvCxnSpPr>
      <xdr:spPr>
        <a:xfrm>
          <a:off x="5888968" y="2758236"/>
          <a:ext cx="0" cy="108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11</xdr:row>
      <xdr:rowOff>212923</xdr:rowOff>
    </xdr:from>
    <xdr:ext cx="216000" cy="0"/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758152CB-0980-8B46-CD31-E823BDD2123F}"/>
            </a:ext>
          </a:extLst>
        </xdr:cNvPr>
        <xdr:cNvCxnSpPr/>
      </xdr:nvCxnSpPr>
      <xdr:spPr>
        <a:xfrm>
          <a:off x="5801802" y="2752923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116241</xdr:colOff>
      <xdr:row>10</xdr:row>
      <xdr:rowOff>96455</xdr:rowOff>
    </xdr:from>
    <xdr:ext cx="0" cy="360000"/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2703816-6FCA-9232-FB9A-E190FD9F85CB}"/>
            </a:ext>
          </a:extLst>
        </xdr:cNvPr>
        <xdr:cNvCxnSpPr/>
      </xdr:nvCxnSpPr>
      <xdr:spPr>
        <a:xfrm>
          <a:off x="5888968" y="2405546"/>
          <a:ext cx="0" cy="36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10</xdr:row>
      <xdr:rowOff>91142</xdr:rowOff>
    </xdr:from>
    <xdr:ext cx="216000" cy="0"/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23FA879B-B0AE-B49A-68E7-78BAF56F8F53}"/>
            </a:ext>
          </a:extLst>
        </xdr:cNvPr>
        <xdr:cNvCxnSpPr/>
      </xdr:nvCxnSpPr>
      <xdr:spPr>
        <a:xfrm>
          <a:off x="5801802" y="2400233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116241</xdr:colOff>
      <xdr:row>8</xdr:row>
      <xdr:rowOff>197358</xdr:rowOff>
    </xdr:from>
    <xdr:ext cx="0" cy="360000"/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ADB30AEF-04EE-3526-5846-3C301A84A874}"/>
            </a:ext>
          </a:extLst>
        </xdr:cNvPr>
        <xdr:cNvCxnSpPr/>
      </xdr:nvCxnSpPr>
      <xdr:spPr>
        <a:xfrm>
          <a:off x="5888968" y="2044631"/>
          <a:ext cx="0" cy="36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8</xdr:row>
      <xdr:rowOff>192045</xdr:rowOff>
    </xdr:from>
    <xdr:ext cx="216000" cy="0"/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90FD6F25-399E-4E75-5DA7-EB598A20A709}"/>
            </a:ext>
          </a:extLst>
        </xdr:cNvPr>
        <xdr:cNvCxnSpPr/>
      </xdr:nvCxnSpPr>
      <xdr:spPr>
        <a:xfrm>
          <a:off x="5801802" y="2039318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116241</xdr:colOff>
      <xdr:row>7</xdr:row>
      <xdr:rowOff>65139</xdr:rowOff>
    </xdr:from>
    <xdr:ext cx="0" cy="360000"/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EE9D16B9-5768-4372-4E32-3D227E175FF0}"/>
            </a:ext>
          </a:extLst>
        </xdr:cNvPr>
        <xdr:cNvCxnSpPr/>
      </xdr:nvCxnSpPr>
      <xdr:spPr>
        <a:xfrm>
          <a:off x="5888968" y="1681503"/>
          <a:ext cx="0" cy="36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7</xdr:row>
      <xdr:rowOff>66784</xdr:rowOff>
    </xdr:from>
    <xdr:ext cx="216000" cy="0"/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8FB6B877-F97F-CE0D-C12F-894C44A7D1A7}"/>
            </a:ext>
          </a:extLst>
        </xdr:cNvPr>
        <xdr:cNvCxnSpPr/>
      </xdr:nvCxnSpPr>
      <xdr:spPr>
        <a:xfrm>
          <a:off x="5801802" y="1683148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116241</xdr:colOff>
      <xdr:row>6</xdr:row>
      <xdr:rowOff>152126</xdr:rowOff>
    </xdr:from>
    <xdr:ext cx="0" cy="144000"/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433D804-1CAE-4F33-BAC6-FEA0D1140687}"/>
            </a:ext>
          </a:extLst>
        </xdr:cNvPr>
        <xdr:cNvCxnSpPr/>
      </xdr:nvCxnSpPr>
      <xdr:spPr>
        <a:xfrm>
          <a:off x="5888968" y="1537581"/>
          <a:ext cx="0" cy="144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29075</xdr:colOff>
      <xdr:row>6</xdr:row>
      <xdr:rowOff>146811</xdr:rowOff>
    </xdr:from>
    <xdr:ext cx="216000" cy="0"/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66EB84B0-3159-C0A1-82BD-D95266208B93}"/>
            </a:ext>
          </a:extLst>
        </xdr:cNvPr>
        <xdr:cNvCxnSpPr/>
      </xdr:nvCxnSpPr>
      <xdr:spPr>
        <a:xfrm>
          <a:off x="5801802" y="1532266"/>
          <a:ext cx="21600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24</xdr:col>
      <xdr:colOff>42847</xdr:colOff>
      <xdr:row>11</xdr:row>
      <xdr:rowOff>140316</xdr:rowOff>
    </xdr:from>
    <xdr:ext cx="224998" cy="444352"/>
    <xdr:sp macro="" textlink="$R$13">
      <xdr:nvSpPr>
        <xdr:cNvPr id="43" name="テキスト ボックス 42">
          <a:extLst>
            <a:ext uri="{FF2B5EF4-FFF2-40B4-BE49-F238E27FC236}">
              <a16:creationId xmlns:a16="http://schemas.microsoft.com/office/drawing/2014/main" id="{21059AB5-F297-8B45-94F9-782D2D093397}"/>
            </a:ext>
          </a:extLst>
        </xdr:cNvPr>
        <xdr:cNvSpPr txBox="1"/>
      </xdr:nvSpPr>
      <xdr:spPr>
        <a:xfrm rot="16200000">
          <a:off x="5474988" y="278999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73FF6CA-D8FE-4EDB-B6E5-B111CAE2A8A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112436</xdr:colOff>
      <xdr:row>10</xdr:row>
      <xdr:rowOff>41500</xdr:rowOff>
    </xdr:from>
    <xdr:ext cx="224998" cy="444352"/>
    <xdr:sp macro="" textlink="$R$12">
      <xdr:nvSpPr>
        <xdr:cNvPr id="44" name="テキスト ボックス 43">
          <a:extLst>
            <a:ext uri="{FF2B5EF4-FFF2-40B4-BE49-F238E27FC236}">
              <a16:creationId xmlns:a16="http://schemas.microsoft.com/office/drawing/2014/main" id="{B8453ECF-49ED-BD58-2F86-011CF44C3C94}"/>
            </a:ext>
          </a:extLst>
        </xdr:cNvPr>
        <xdr:cNvSpPr txBox="1"/>
      </xdr:nvSpPr>
      <xdr:spPr>
        <a:xfrm rot="16200000">
          <a:off x="5544577" y="246026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3E764F2-C94D-4A14-A829-C5A4F616E95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1.000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112436</xdr:colOff>
      <xdr:row>7</xdr:row>
      <xdr:rowOff>48460</xdr:rowOff>
    </xdr:from>
    <xdr:ext cx="224998" cy="444352"/>
    <xdr:sp macro="" textlink="$R$10">
      <xdr:nvSpPr>
        <xdr:cNvPr id="45" name="テキスト ボックス 44">
          <a:extLst>
            <a:ext uri="{FF2B5EF4-FFF2-40B4-BE49-F238E27FC236}">
              <a16:creationId xmlns:a16="http://schemas.microsoft.com/office/drawing/2014/main" id="{1D7A207A-6225-3301-E5E7-DCEDE53A232A}"/>
            </a:ext>
          </a:extLst>
        </xdr:cNvPr>
        <xdr:cNvSpPr txBox="1"/>
      </xdr:nvSpPr>
      <xdr:spPr>
        <a:xfrm rot="16200000">
          <a:off x="5544577" y="177450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64690C4-AB89-4A25-9CEC-BD2A758F3B3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1.000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42847</xdr:colOff>
      <xdr:row>8</xdr:row>
      <xdr:rowOff>150754</xdr:rowOff>
    </xdr:from>
    <xdr:ext cx="224998" cy="444352"/>
    <xdr:sp macro="" textlink="$R$11">
      <xdr:nvSpPr>
        <xdr:cNvPr id="46" name="テキスト ボックス 45">
          <a:extLst>
            <a:ext uri="{FF2B5EF4-FFF2-40B4-BE49-F238E27FC236}">
              <a16:creationId xmlns:a16="http://schemas.microsoft.com/office/drawing/2014/main" id="{DF503EE9-C38B-CE47-AB99-0CAC6988FA39}"/>
            </a:ext>
          </a:extLst>
        </xdr:cNvPr>
        <xdr:cNvSpPr txBox="1"/>
      </xdr:nvSpPr>
      <xdr:spPr>
        <a:xfrm rot="16200000">
          <a:off x="5474988" y="210770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CF845E8-0EC4-41D9-9D20-0178BF6C930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1.000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42847</xdr:colOff>
      <xdr:row>5</xdr:row>
      <xdr:rowOff>171631</xdr:rowOff>
    </xdr:from>
    <xdr:ext cx="224998" cy="444352"/>
    <xdr:sp macro="" textlink="$R$9">
      <xdr:nvSpPr>
        <xdr:cNvPr id="47" name="テキスト ボックス 46">
          <a:extLst>
            <a:ext uri="{FF2B5EF4-FFF2-40B4-BE49-F238E27FC236}">
              <a16:creationId xmlns:a16="http://schemas.microsoft.com/office/drawing/2014/main" id="{72B8D641-D766-15C3-808B-933C26DD5E14}"/>
            </a:ext>
          </a:extLst>
        </xdr:cNvPr>
        <xdr:cNvSpPr txBox="1"/>
      </xdr:nvSpPr>
      <xdr:spPr>
        <a:xfrm rot="16200000">
          <a:off x="5474988" y="143585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F97168C-36E8-474E-BEA4-4744DA9DF43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200785</xdr:colOff>
      <xdr:row>27</xdr:row>
      <xdr:rowOff>7371</xdr:rowOff>
    </xdr:from>
    <xdr:ext cx="409788" cy="0"/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A31785EA-8E58-4FBF-9FE3-37B55BE695E3}"/>
            </a:ext>
          </a:extLst>
        </xdr:cNvPr>
        <xdr:cNvCxnSpPr/>
      </xdr:nvCxnSpPr>
      <xdr:spPr>
        <a:xfrm>
          <a:off x="7021914" y="614638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223159</xdr:colOff>
      <xdr:row>27</xdr:row>
      <xdr:rowOff>8630</xdr:rowOff>
    </xdr:from>
    <xdr:ext cx="615492" cy="2116214"/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82A33FB8-EDC6-49D2-A8E6-2DC95C581A47}"/>
            </a:ext>
          </a:extLst>
        </xdr:cNvPr>
        <xdr:cNvCxnSpPr/>
      </xdr:nvCxnSpPr>
      <xdr:spPr>
        <a:xfrm flipH="1">
          <a:off x="6816917" y="6147646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53721</xdr:colOff>
      <xdr:row>28</xdr:row>
      <xdr:rowOff>182195</xdr:rowOff>
    </xdr:from>
    <xdr:ext cx="224998" cy="213520"/>
    <xdr:sp macro="" textlink="#REF!">
      <xdr:nvSpPr>
        <xdr:cNvPr id="52" name="テキスト ボックス 51">
          <a:extLst>
            <a:ext uri="{FF2B5EF4-FFF2-40B4-BE49-F238E27FC236}">
              <a16:creationId xmlns:a16="http://schemas.microsoft.com/office/drawing/2014/main" id="{5D219EC3-2681-4B5C-8A01-6CD79A33A1E4}"/>
            </a:ext>
          </a:extLst>
        </xdr:cNvPr>
        <xdr:cNvSpPr txBox="1"/>
      </xdr:nvSpPr>
      <xdr:spPr>
        <a:xfrm rot="17160000">
          <a:off x="7335331" y="6542843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39560</xdr:colOff>
      <xdr:row>27</xdr:row>
      <xdr:rowOff>3867</xdr:rowOff>
    </xdr:from>
    <xdr:ext cx="616740" cy="2120568"/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B60271C9-BCFA-462D-81AD-F7271C763397}"/>
            </a:ext>
          </a:extLst>
        </xdr:cNvPr>
        <xdr:cNvCxnSpPr/>
      </xdr:nvCxnSpPr>
      <xdr:spPr>
        <a:xfrm flipH="1">
          <a:off x="6405947" y="6142883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226930</xdr:colOff>
      <xdr:row>36</xdr:row>
      <xdr:rowOff>71390</xdr:rowOff>
    </xdr:from>
    <xdr:ext cx="481788" cy="91671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34683B2A-5CA6-483E-B5AF-EEAFBCD2A5F9}"/>
            </a:ext>
          </a:extLst>
        </xdr:cNvPr>
        <xdr:cNvSpPr/>
      </xdr:nvSpPr>
      <xdr:spPr>
        <a:xfrm>
          <a:off x="6365946" y="8256745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131310</xdr:colOff>
      <xdr:row>27</xdr:row>
      <xdr:rowOff>129615</xdr:rowOff>
    </xdr:from>
    <xdr:ext cx="573482" cy="1994000"/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7A40EEF3-B4A5-44B1-BC10-B4146AEA695F}"/>
            </a:ext>
          </a:extLst>
        </xdr:cNvPr>
        <xdr:cNvCxnSpPr/>
      </xdr:nvCxnSpPr>
      <xdr:spPr>
        <a:xfrm flipH="1">
          <a:off x="6725068" y="6268631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152159</xdr:colOff>
      <xdr:row>34</xdr:row>
      <xdr:rowOff>158270</xdr:rowOff>
    </xdr:from>
    <xdr:ext cx="312805" cy="0"/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5AF9C2ED-5FEF-4B38-9627-CBFE5369277E}"/>
            </a:ext>
          </a:extLst>
        </xdr:cNvPr>
        <xdr:cNvCxnSpPr/>
      </xdr:nvCxnSpPr>
      <xdr:spPr>
        <a:xfrm>
          <a:off x="6518546" y="7888883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22791</xdr:colOff>
      <xdr:row>33</xdr:row>
      <xdr:rowOff>39485</xdr:rowOff>
    </xdr:from>
    <xdr:ext cx="319700" cy="0"/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538D8A11-C0CF-42CA-9955-BAB7B7EEFC8C}"/>
            </a:ext>
          </a:extLst>
        </xdr:cNvPr>
        <xdr:cNvCxnSpPr/>
      </xdr:nvCxnSpPr>
      <xdr:spPr>
        <a:xfrm>
          <a:off x="6616549" y="754272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126398</xdr:colOff>
      <xdr:row>31</xdr:row>
      <xdr:rowOff>133507</xdr:rowOff>
    </xdr:from>
    <xdr:ext cx="312806" cy="0"/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9EBBCCD7-A9C7-4739-B69D-7FE97001F9F6}"/>
            </a:ext>
          </a:extLst>
        </xdr:cNvPr>
        <xdr:cNvCxnSpPr/>
      </xdr:nvCxnSpPr>
      <xdr:spPr>
        <a:xfrm>
          <a:off x="6720156" y="7182007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1383</xdr:colOff>
      <xdr:row>30</xdr:row>
      <xdr:rowOff>3833</xdr:rowOff>
    </xdr:from>
    <xdr:ext cx="310084" cy="0"/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F7970B6B-133D-4831-AB73-E016E2C4E132}"/>
            </a:ext>
          </a:extLst>
        </xdr:cNvPr>
        <xdr:cNvCxnSpPr/>
      </xdr:nvCxnSpPr>
      <xdr:spPr>
        <a:xfrm>
          <a:off x="6822512" y="6824962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118052</xdr:colOff>
      <xdr:row>28</xdr:row>
      <xdr:rowOff>102179</xdr:rowOff>
    </xdr:from>
    <xdr:ext cx="312805" cy="0"/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5BD8BE1C-8303-40E5-B153-BFFAFF292FEC}"/>
            </a:ext>
          </a:extLst>
        </xdr:cNvPr>
        <xdr:cNvCxnSpPr/>
      </xdr:nvCxnSpPr>
      <xdr:spPr>
        <a:xfrm>
          <a:off x="6939181" y="646856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156832</xdr:colOff>
      <xdr:row>27</xdr:row>
      <xdr:rowOff>124116</xdr:rowOff>
    </xdr:from>
    <xdr:ext cx="426244" cy="0"/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844C54C4-ED77-41B7-A91C-5BB01CDB1E97}"/>
            </a:ext>
          </a:extLst>
        </xdr:cNvPr>
        <xdr:cNvCxnSpPr/>
      </xdr:nvCxnSpPr>
      <xdr:spPr>
        <a:xfrm>
          <a:off x="6977961" y="6263132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224985</xdr:colOff>
      <xdr:row>30</xdr:row>
      <xdr:rowOff>199683</xdr:rowOff>
    </xdr:from>
    <xdr:ext cx="0" cy="1332000"/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A93544C8-815E-45A0-BB85-5BF48EB3E758}"/>
            </a:ext>
          </a:extLst>
        </xdr:cNvPr>
        <xdr:cNvCxnSpPr/>
      </xdr:nvCxnSpPr>
      <xdr:spPr>
        <a:xfrm>
          <a:off x="7500856" y="7020812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167494</xdr:colOff>
      <xdr:row>30</xdr:row>
      <xdr:rowOff>207003</xdr:rowOff>
    </xdr:from>
    <xdr:ext cx="1558484" cy="0"/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9FF9DA7C-7276-45F2-B5CD-B7F2D0EA866B}"/>
            </a:ext>
          </a:extLst>
        </xdr:cNvPr>
        <xdr:cNvCxnSpPr/>
      </xdr:nvCxnSpPr>
      <xdr:spPr>
        <a:xfrm>
          <a:off x="6079139" y="7028132"/>
          <a:ext cx="155848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203566</xdr:colOff>
      <xdr:row>31</xdr:row>
      <xdr:rowOff>195047</xdr:rowOff>
    </xdr:from>
    <xdr:ext cx="224998" cy="444352"/>
    <xdr:sp macro="" textlink="$O$7">
      <xdr:nvSpPr>
        <xdr:cNvPr id="128" name="テキスト ボックス 127">
          <a:extLst>
            <a:ext uri="{FF2B5EF4-FFF2-40B4-BE49-F238E27FC236}">
              <a16:creationId xmlns:a16="http://schemas.microsoft.com/office/drawing/2014/main" id="{8A9E9A62-97DF-4AD4-9B75-8FE768F0C5BD}"/>
            </a:ext>
          </a:extLst>
        </xdr:cNvPr>
        <xdr:cNvSpPr txBox="1"/>
      </xdr:nvSpPr>
      <xdr:spPr>
        <a:xfrm rot="16200000">
          <a:off x="7369760" y="735322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5DBB1CF-64D1-4489-9E70-B0DA72EFF94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32</xdr:col>
      <xdr:colOff>197231</xdr:colOff>
      <xdr:row>33</xdr:row>
      <xdr:rowOff>49586</xdr:rowOff>
    </xdr:from>
    <xdr:ext cx="224998" cy="387607"/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F6C52C2A-905D-4C33-97FA-F29E64A6582D}"/>
            </a:ext>
          </a:extLst>
        </xdr:cNvPr>
        <xdr:cNvSpPr txBox="1"/>
      </xdr:nvSpPr>
      <xdr:spPr>
        <a:xfrm rot="16200000">
          <a:off x="7391797" y="7634133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31</xdr:col>
      <xdr:colOff>203254</xdr:colOff>
      <xdr:row>31</xdr:row>
      <xdr:rowOff>2105</xdr:rowOff>
    </xdr:from>
    <xdr:ext cx="164757" cy="0"/>
    <xdr:cxnSp macro="">
      <xdr:nvCxnSpPr>
        <xdr:cNvPr id="130" name="直線コネクタ 129">
          <a:extLst>
            <a:ext uri="{FF2B5EF4-FFF2-40B4-BE49-F238E27FC236}">
              <a16:creationId xmlns:a16="http://schemas.microsoft.com/office/drawing/2014/main" id="{7C12DA03-2BC5-4FE5-B20F-FBAF66F5E657}"/>
            </a:ext>
          </a:extLst>
        </xdr:cNvPr>
        <xdr:cNvCxnSpPr/>
      </xdr:nvCxnSpPr>
      <xdr:spPr>
        <a:xfrm>
          <a:off x="7251754" y="7050605"/>
          <a:ext cx="16475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11431</xdr:colOff>
      <xdr:row>31</xdr:row>
      <xdr:rowOff>26168</xdr:rowOff>
    </xdr:from>
    <xdr:ext cx="91834" cy="0"/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C6A2F03F-5CF2-4F34-8C34-9369AC20DFB3}"/>
            </a:ext>
          </a:extLst>
        </xdr:cNvPr>
        <xdr:cNvCxnSpPr/>
      </xdr:nvCxnSpPr>
      <xdr:spPr>
        <a:xfrm>
          <a:off x="7287302" y="7074668"/>
          <a:ext cx="9183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32821</xdr:colOff>
      <xdr:row>31</xdr:row>
      <xdr:rowOff>49301</xdr:rowOff>
    </xdr:from>
    <xdr:ext cx="42778" cy="0"/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E000EC76-E07B-4E3A-96FC-8908ECC9DCBD}"/>
            </a:ext>
          </a:extLst>
        </xdr:cNvPr>
        <xdr:cNvCxnSpPr/>
      </xdr:nvCxnSpPr>
      <xdr:spPr>
        <a:xfrm>
          <a:off x="7308692" y="7097801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32</xdr:col>
      <xdr:colOff>11431</xdr:colOff>
      <xdr:row>30</xdr:row>
      <xdr:rowOff>156848</xdr:rowOff>
    </xdr:from>
    <xdr:ext cx="83813" cy="43783"/>
    <xdr:sp macro="" textlink="">
      <xdr:nvSpPr>
        <xdr:cNvPr id="133" name="二等辺三角形 132">
          <a:extLst>
            <a:ext uri="{FF2B5EF4-FFF2-40B4-BE49-F238E27FC236}">
              <a16:creationId xmlns:a16="http://schemas.microsoft.com/office/drawing/2014/main" id="{F10AD92B-CB57-432A-AD77-F69CC9F1BF7B}"/>
            </a:ext>
          </a:extLst>
        </xdr:cNvPr>
        <xdr:cNvSpPr/>
      </xdr:nvSpPr>
      <xdr:spPr>
        <a:xfrm rot="10800000">
          <a:off x="7287302" y="6977977"/>
          <a:ext cx="83813" cy="43783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163089</xdr:colOff>
      <xdr:row>36</xdr:row>
      <xdr:rowOff>159791</xdr:rowOff>
    </xdr:from>
    <xdr:ext cx="635637" cy="0"/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8CCE2200-7874-4D36-B058-A4C8EDA8F453}"/>
            </a:ext>
          </a:extLst>
        </xdr:cNvPr>
        <xdr:cNvCxnSpPr/>
      </xdr:nvCxnSpPr>
      <xdr:spPr>
        <a:xfrm>
          <a:off x="6984218" y="8345146"/>
          <a:ext cx="63563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37763</xdr:colOff>
      <xdr:row>36</xdr:row>
      <xdr:rowOff>18782</xdr:rowOff>
    </xdr:from>
    <xdr:ext cx="482761" cy="224998"/>
    <xdr:sp macro="" textlink="$Z$25">
      <xdr:nvSpPr>
        <xdr:cNvPr id="146" name="テキスト ボックス 145">
          <a:extLst>
            <a:ext uri="{FF2B5EF4-FFF2-40B4-BE49-F238E27FC236}">
              <a16:creationId xmlns:a16="http://schemas.microsoft.com/office/drawing/2014/main" id="{A8C8C9F5-5D25-40E5-9A58-CE796D5728A2}"/>
            </a:ext>
          </a:extLst>
        </xdr:cNvPr>
        <xdr:cNvSpPr txBox="1"/>
      </xdr:nvSpPr>
      <xdr:spPr>
        <a:xfrm>
          <a:off x="5949408" y="8204137"/>
          <a:ext cx="4827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B3333DC-7C1B-4518-9E39-045F1C7FAAA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-3.822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90006</xdr:colOff>
      <xdr:row>34</xdr:row>
      <xdr:rowOff>175117</xdr:rowOff>
    </xdr:from>
    <xdr:ext cx="540469" cy="224998"/>
    <xdr:sp macro="" textlink="$Z$24">
      <xdr:nvSpPr>
        <xdr:cNvPr id="147" name="テキスト ボックス 146">
          <a:extLst>
            <a:ext uri="{FF2B5EF4-FFF2-40B4-BE49-F238E27FC236}">
              <a16:creationId xmlns:a16="http://schemas.microsoft.com/office/drawing/2014/main" id="{2F3F2203-6735-4646-B483-EF184DD645D6}"/>
            </a:ext>
          </a:extLst>
        </xdr:cNvPr>
        <xdr:cNvSpPr txBox="1"/>
      </xdr:nvSpPr>
      <xdr:spPr>
        <a:xfrm>
          <a:off x="6001651" y="7905730"/>
          <a:ext cx="5404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8C245EA-9C53-4674-85FB-B15991551908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-10.780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76533</xdr:colOff>
      <xdr:row>31</xdr:row>
      <xdr:rowOff>153213</xdr:rowOff>
    </xdr:from>
    <xdr:ext cx="540469" cy="224998"/>
    <xdr:sp macro="" textlink="$Z$22">
      <xdr:nvSpPr>
        <xdr:cNvPr id="148" name="テキスト ボックス 147">
          <a:extLst>
            <a:ext uri="{FF2B5EF4-FFF2-40B4-BE49-F238E27FC236}">
              <a16:creationId xmlns:a16="http://schemas.microsoft.com/office/drawing/2014/main" id="{DDFCB139-4D33-4485-9CAE-61A4C26E7CB3}"/>
            </a:ext>
          </a:extLst>
        </xdr:cNvPr>
        <xdr:cNvSpPr txBox="1"/>
      </xdr:nvSpPr>
      <xdr:spPr>
        <a:xfrm>
          <a:off x="6215549" y="7201713"/>
          <a:ext cx="5404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C48639-C41D-43A8-B930-8107B7F7F90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-10.780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204145</xdr:colOff>
      <xdr:row>33</xdr:row>
      <xdr:rowOff>67319</xdr:rowOff>
    </xdr:from>
    <xdr:ext cx="540469" cy="224998"/>
    <xdr:sp macro="" textlink="$Z$23">
      <xdr:nvSpPr>
        <xdr:cNvPr id="149" name="テキスト ボックス 148">
          <a:extLst>
            <a:ext uri="{FF2B5EF4-FFF2-40B4-BE49-F238E27FC236}">
              <a16:creationId xmlns:a16="http://schemas.microsoft.com/office/drawing/2014/main" id="{2CEEC6DD-EAF5-4D28-B71D-AD1EE8BEA9B2}"/>
            </a:ext>
          </a:extLst>
        </xdr:cNvPr>
        <xdr:cNvSpPr txBox="1"/>
      </xdr:nvSpPr>
      <xdr:spPr>
        <a:xfrm>
          <a:off x="6115790" y="7570561"/>
          <a:ext cx="5404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080175F-FCF8-4EC6-A418-3451B2509FC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-10.780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9725</xdr:colOff>
      <xdr:row>30</xdr:row>
      <xdr:rowOff>29936</xdr:rowOff>
    </xdr:from>
    <xdr:ext cx="540469" cy="224998"/>
    <xdr:sp macro="" textlink="$Z$21">
      <xdr:nvSpPr>
        <xdr:cNvPr id="150" name="テキスト ボックス 149">
          <a:extLst>
            <a:ext uri="{FF2B5EF4-FFF2-40B4-BE49-F238E27FC236}">
              <a16:creationId xmlns:a16="http://schemas.microsoft.com/office/drawing/2014/main" id="{18911474-FCE7-45E7-A241-20143B54B94F}"/>
            </a:ext>
          </a:extLst>
        </xdr:cNvPr>
        <xdr:cNvSpPr txBox="1"/>
      </xdr:nvSpPr>
      <xdr:spPr>
        <a:xfrm>
          <a:off x="6429406" y="6908166"/>
          <a:ext cx="5404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0CFAA9B-364D-43D7-9EF2-8E1E971C98C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-4.312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90758</xdr:colOff>
      <xdr:row>34</xdr:row>
      <xdr:rowOff>110018</xdr:rowOff>
    </xdr:from>
    <xdr:to>
      <xdr:col>29</xdr:col>
      <xdr:colOff>90758</xdr:colOff>
      <xdr:row>35</xdr:row>
      <xdr:rowOff>106687</xdr:rowOff>
    </xdr:to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0A11DD9A-2666-4075-B71E-039183E8403A}"/>
            </a:ext>
          </a:extLst>
        </xdr:cNvPr>
        <xdr:cNvCxnSpPr/>
      </xdr:nvCxnSpPr>
      <xdr:spPr>
        <a:xfrm flipV="1">
          <a:off x="6684516" y="7840631"/>
          <a:ext cx="0" cy="224040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74889</xdr:colOff>
      <xdr:row>35</xdr:row>
      <xdr:rowOff>85044</xdr:rowOff>
    </xdr:from>
    <xdr:ext cx="37664" cy="42986"/>
    <xdr:sp macro="" textlink="">
      <xdr:nvSpPr>
        <xdr:cNvPr id="174" name="楕円 173">
          <a:extLst>
            <a:ext uri="{FF2B5EF4-FFF2-40B4-BE49-F238E27FC236}">
              <a16:creationId xmlns:a16="http://schemas.microsoft.com/office/drawing/2014/main" id="{DA621AE8-EE24-4807-8A40-5C002A4482CC}"/>
            </a:ext>
          </a:extLst>
        </xdr:cNvPr>
        <xdr:cNvSpPr/>
      </xdr:nvSpPr>
      <xdr:spPr>
        <a:xfrm>
          <a:off x="6668647" y="8043028"/>
          <a:ext cx="37664" cy="42986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29</xdr:col>
      <xdr:colOff>189719</xdr:colOff>
      <xdr:row>32</xdr:row>
      <xdr:rowOff>205441</xdr:rowOff>
    </xdr:from>
    <xdr:to>
      <xdr:col>29</xdr:col>
      <xdr:colOff>189719</xdr:colOff>
      <xdr:row>33</xdr:row>
      <xdr:rowOff>202109</xdr:rowOff>
    </xdr:to>
    <xdr:cxnSp macro="">
      <xdr:nvCxnSpPr>
        <xdr:cNvPr id="175" name="直線コネクタ 174">
          <a:extLst>
            <a:ext uri="{FF2B5EF4-FFF2-40B4-BE49-F238E27FC236}">
              <a16:creationId xmlns:a16="http://schemas.microsoft.com/office/drawing/2014/main" id="{B5365B04-597D-F307-DF96-A1537A97B4CA}"/>
            </a:ext>
          </a:extLst>
        </xdr:cNvPr>
        <xdr:cNvCxnSpPr/>
      </xdr:nvCxnSpPr>
      <xdr:spPr>
        <a:xfrm flipV="1">
          <a:off x="6783477" y="7481312"/>
          <a:ext cx="0" cy="224039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173850</xdr:colOff>
      <xdr:row>33</xdr:row>
      <xdr:rowOff>180466</xdr:rowOff>
    </xdr:from>
    <xdr:ext cx="37664" cy="42986"/>
    <xdr:sp macro="" textlink="">
      <xdr:nvSpPr>
        <xdr:cNvPr id="176" name="楕円 175">
          <a:extLst>
            <a:ext uri="{FF2B5EF4-FFF2-40B4-BE49-F238E27FC236}">
              <a16:creationId xmlns:a16="http://schemas.microsoft.com/office/drawing/2014/main" id="{B22923C2-BCB4-77F2-2FF7-14E60BC9F23A}"/>
            </a:ext>
          </a:extLst>
        </xdr:cNvPr>
        <xdr:cNvSpPr/>
      </xdr:nvSpPr>
      <xdr:spPr>
        <a:xfrm>
          <a:off x="6767608" y="7683708"/>
          <a:ext cx="37664" cy="42986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30</xdr:col>
      <xdr:colOff>60432</xdr:colOff>
      <xdr:row>31</xdr:row>
      <xdr:rowOff>86927</xdr:rowOff>
    </xdr:from>
    <xdr:to>
      <xdr:col>30</xdr:col>
      <xdr:colOff>65138</xdr:colOff>
      <xdr:row>32</xdr:row>
      <xdr:rowOff>83596</xdr:rowOff>
    </xdr:to>
    <xdr:cxnSp macro="">
      <xdr:nvCxnSpPr>
        <xdr:cNvPr id="177" name="直線コネクタ 176">
          <a:extLst>
            <a:ext uri="{FF2B5EF4-FFF2-40B4-BE49-F238E27FC236}">
              <a16:creationId xmlns:a16="http://schemas.microsoft.com/office/drawing/2014/main" id="{F824898B-0625-75CB-2C17-8722F6F1CE92}"/>
            </a:ext>
          </a:extLst>
        </xdr:cNvPr>
        <xdr:cNvCxnSpPr/>
      </xdr:nvCxnSpPr>
      <xdr:spPr>
        <a:xfrm flipV="1">
          <a:off x="6881561" y="7135427"/>
          <a:ext cx="4706" cy="224040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44563</xdr:colOff>
      <xdr:row>32</xdr:row>
      <xdr:rowOff>61953</xdr:rowOff>
    </xdr:from>
    <xdr:ext cx="37664" cy="42986"/>
    <xdr:sp macro="" textlink="">
      <xdr:nvSpPr>
        <xdr:cNvPr id="178" name="楕円 177">
          <a:extLst>
            <a:ext uri="{FF2B5EF4-FFF2-40B4-BE49-F238E27FC236}">
              <a16:creationId xmlns:a16="http://schemas.microsoft.com/office/drawing/2014/main" id="{9B8F3472-9E80-7649-2116-814287CF71DA}"/>
            </a:ext>
          </a:extLst>
        </xdr:cNvPr>
        <xdr:cNvSpPr/>
      </xdr:nvSpPr>
      <xdr:spPr>
        <a:xfrm>
          <a:off x="6865692" y="7337824"/>
          <a:ext cx="37664" cy="42986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30</xdr:col>
      <xdr:colOff>133641</xdr:colOff>
      <xdr:row>30</xdr:row>
      <xdr:rowOff>136094</xdr:rowOff>
    </xdr:from>
    <xdr:to>
      <xdr:col>30</xdr:col>
      <xdr:colOff>133641</xdr:colOff>
      <xdr:row>31</xdr:row>
      <xdr:rowOff>37414</xdr:rowOff>
    </xdr:to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66221828-AE95-B59B-A04F-F5B7CB7262B0}"/>
            </a:ext>
          </a:extLst>
        </xdr:cNvPr>
        <xdr:cNvCxnSpPr/>
      </xdr:nvCxnSpPr>
      <xdr:spPr>
        <a:xfrm flipV="1">
          <a:off x="6954770" y="6957223"/>
          <a:ext cx="0" cy="128691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117772</xdr:colOff>
      <xdr:row>31</xdr:row>
      <xdr:rowOff>15771</xdr:rowOff>
    </xdr:from>
    <xdr:ext cx="37664" cy="42986"/>
    <xdr:sp macro="" textlink="">
      <xdr:nvSpPr>
        <xdr:cNvPr id="180" name="楕円 179">
          <a:extLst>
            <a:ext uri="{FF2B5EF4-FFF2-40B4-BE49-F238E27FC236}">
              <a16:creationId xmlns:a16="http://schemas.microsoft.com/office/drawing/2014/main" id="{9DBD45CE-3DDE-3203-9C6A-1C02733846AF}"/>
            </a:ext>
          </a:extLst>
        </xdr:cNvPr>
        <xdr:cNvSpPr/>
      </xdr:nvSpPr>
      <xdr:spPr>
        <a:xfrm>
          <a:off x="6938901" y="7064271"/>
          <a:ext cx="37664" cy="42986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oneCellAnchor>
  <xdr:twoCellAnchor editAs="oneCell">
    <xdr:from>
      <xdr:col>29</xdr:col>
      <xdr:colOff>11049</xdr:colOff>
      <xdr:row>35</xdr:row>
      <xdr:rowOff>225159</xdr:rowOff>
    </xdr:from>
    <xdr:to>
      <xdr:col>29</xdr:col>
      <xdr:colOff>11049</xdr:colOff>
      <xdr:row>36</xdr:row>
      <xdr:rowOff>123135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BF5CDB89-30BF-F1CC-6128-BE3A936E8478}"/>
            </a:ext>
          </a:extLst>
        </xdr:cNvPr>
        <xdr:cNvCxnSpPr/>
      </xdr:nvCxnSpPr>
      <xdr:spPr>
        <a:xfrm flipV="1">
          <a:off x="6604807" y="8183143"/>
          <a:ext cx="0" cy="125347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219278</xdr:colOff>
      <xdr:row>36</xdr:row>
      <xdr:rowOff>98238</xdr:rowOff>
    </xdr:from>
    <xdr:ext cx="37664" cy="42986"/>
    <xdr:sp macro="" textlink="">
      <xdr:nvSpPr>
        <xdr:cNvPr id="182" name="楕円 181">
          <a:extLst>
            <a:ext uri="{FF2B5EF4-FFF2-40B4-BE49-F238E27FC236}">
              <a16:creationId xmlns:a16="http://schemas.microsoft.com/office/drawing/2014/main" id="{4734D1FE-0569-FD6B-A060-588654EFBFF1}"/>
            </a:ext>
          </a:extLst>
        </xdr:cNvPr>
        <xdr:cNvSpPr/>
      </xdr:nvSpPr>
      <xdr:spPr>
        <a:xfrm>
          <a:off x="6585665" y="8283593"/>
          <a:ext cx="37664" cy="42986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24</xdr:col>
      <xdr:colOff>85834</xdr:colOff>
      <xdr:row>35</xdr:row>
      <xdr:rowOff>193940</xdr:rowOff>
    </xdr:from>
    <xdr:ext cx="530915" cy="285527"/>
    <xdr:sp macro="" textlink="">
      <xdr:nvSpPr>
        <xdr:cNvPr id="185" name="テキスト ボックス 184">
          <a:extLst>
            <a:ext uri="{FF2B5EF4-FFF2-40B4-BE49-F238E27FC236}">
              <a16:creationId xmlns:a16="http://schemas.microsoft.com/office/drawing/2014/main" id="{C0BE1207-8F1C-FFFF-2CDA-C81B031650A4}"/>
            </a:ext>
          </a:extLst>
        </xdr:cNvPr>
        <xdr:cNvSpPr txBox="1"/>
      </xdr:nvSpPr>
      <xdr:spPr>
        <a:xfrm>
          <a:off x="5542737" y="8151924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基礎部</a:t>
          </a:r>
        </a:p>
      </xdr:txBody>
    </xdr:sp>
    <xdr:clientData/>
  </xdr:oneCellAnchor>
  <xdr:oneCellAnchor>
    <xdr:from>
      <xdr:col>24</xdr:col>
      <xdr:colOff>162226</xdr:colOff>
      <xdr:row>34</xdr:row>
      <xdr:rowOff>148863</xdr:rowOff>
    </xdr:from>
    <xdr:ext cx="530915" cy="285527"/>
    <xdr:sp macro="" textlink="">
      <xdr:nvSpPr>
        <xdr:cNvPr id="186" name="テキスト ボックス 185">
          <a:extLst>
            <a:ext uri="{FF2B5EF4-FFF2-40B4-BE49-F238E27FC236}">
              <a16:creationId xmlns:a16="http://schemas.microsoft.com/office/drawing/2014/main" id="{63DC30BF-D605-D6AC-6302-537DB6192C55}"/>
            </a:ext>
          </a:extLst>
        </xdr:cNvPr>
        <xdr:cNvSpPr txBox="1"/>
      </xdr:nvSpPr>
      <xdr:spPr>
        <a:xfrm>
          <a:off x="5619129" y="7879476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１段目</a:t>
          </a:r>
        </a:p>
      </xdr:txBody>
    </xdr:sp>
    <xdr:clientData/>
  </xdr:oneCellAnchor>
  <xdr:oneCellAnchor>
    <xdr:from>
      <xdr:col>25</xdr:col>
      <xdr:colOff>51509</xdr:colOff>
      <xdr:row>33</xdr:row>
      <xdr:rowOff>44910</xdr:rowOff>
    </xdr:from>
    <xdr:ext cx="530915" cy="285527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30F54F29-4B3C-3F75-D06A-BE115EC0DF38}"/>
            </a:ext>
          </a:extLst>
        </xdr:cNvPr>
        <xdr:cNvSpPr txBox="1"/>
      </xdr:nvSpPr>
      <xdr:spPr>
        <a:xfrm>
          <a:off x="5735783" y="7548152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２段目</a:t>
          </a:r>
        </a:p>
      </xdr:txBody>
    </xdr:sp>
    <xdr:clientData/>
  </xdr:oneCellAnchor>
  <xdr:oneCellAnchor>
    <xdr:from>
      <xdr:col>25</xdr:col>
      <xdr:colOff>149201</xdr:colOff>
      <xdr:row>31</xdr:row>
      <xdr:rowOff>116876</xdr:rowOff>
    </xdr:from>
    <xdr:ext cx="530915" cy="285527"/>
    <xdr:sp macro="" textlink="">
      <xdr:nvSpPr>
        <xdr:cNvPr id="189" name="テキスト ボックス 188">
          <a:extLst>
            <a:ext uri="{FF2B5EF4-FFF2-40B4-BE49-F238E27FC236}">
              <a16:creationId xmlns:a16="http://schemas.microsoft.com/office/drawing/2014/main" id="{0FD04C0F-5EF1-582D-BC8A-9FFF9C9941E6}"/>
            </a:ext>
          </a:extLst>
        </xdr:cNvPr>
        <xdr:cNvSpPr txBox="1"/>
      </xdr:nvSpPr>
      <xdr:spPr>
        <a:xfrm>
          <a:off x="5833475" y="7165376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３段目</a:t>
          </a:r>
        </a:p>
      </xdr:txBody>
    </xdr:sp>
    <xdr:clientData/>
  </xdr:oneCellAnchor>
  <xdr:oneCellAnchor>
    <xdr:from>
      <xdr:col>26</xdr:col>
      <xdr:colOff>57370</xdr:colOff>
      <xdr:row>29</xdr:row>
      <xdr:rowOff>201942</xdr:rowOff>
    </xdr:from>
    <xdr:ext cx="530915" cy="285527"/>
    <xdr:sp macro="" textlink="">
      <xdr:nvSpPr>
        <xdr:cNvPr id="190" name="テキスト ボックス 189">
          <a:extLst>
            <a:ext uri="{FF2B5EF4-FFF2-40B4-BE49-F238E27FC236}">
              <a16:creationId xmlns:a16="http://schemas.microsoft.com/office/drawing/2014/main" id="{A15366B1-0DF1-51FC-F2CC-EFB27C8AA653}"/>
            </a:ext>
          </a:extLst>
        </xdr:cNvPr>
        <xdr:cNvSpPr txBox="1"/>
      </xdr:nvSpPr>
      <xdr:spPr>
        <a:xfrm>
          <a:off x="5969015" y="679570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４段目</a:t>
          </a:r>
        </a:p>
      </xdr:txBody>
    </xdr:sp>
    <xdr:clientData/>
  </xdr:oneCellAnchor>
  <xdr:oneCellAnchor>
    <xdr:from>
      <xdr:col>28</xdr:col>
      <xdr:colOff>81366</xdr:colOff>
      <xdr:row>28</xdr:row>
      <xdr:rowOff>131233</xdr:rowOff>
    </xdr:from>
    <xdr:ext cx="540469" cy="224998"/>
    <xdr:sp macro="" textlink="$Z$20">
      <xdr:nvSpPr>
        <xdr:cNvPr id="191" name="テキスト ボックス 190">
          <a:extLst>
            <a:ext uri="{FF2B5EF4-FFF2-40B4-BE49-F238E27FC236}">
              <a16:creationId xmlns:a16="http://schemas.microsoft.com/office/drawing/2014/main" id="{E111C260-24B3-59DF-9163-B51E67BD8254}"/>
            </a:ext>
          </a:extLst>
        </xdr:cNvPr>
        <xdr:cNvSpPr txBox="1"/>
      </xdr:nvSpPr>
      <xdr:spPr>
        <a:xfrm>
          <a:off x="6501047" y="6550914"/>
          <a:ext cx="5404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45906DD-69C8-414D-9052-2CEAFA2EBD2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167436</xdr:colOff>
      <xdr:row>28</xdr:row>
      <xdr:rowOff>110364</xdr:rowOff>
    </xdr:from>
    <xdr:ext cx="530915" cy="285527"/>
    <xdr:sp macro="" textlink="">
      <xdr:nvSpPr>
        <xdr:cNvPr id="192" name="テキスト ボックス 191">
          <a:extLst>
            <a:ext uri="{FF2B5EF4-FFF2-40B4-BE49-F238E27FC236}">
              <a16:creationId xmlns:a16="http://schemas.microsoft.com/office/drawing/2014/main" id="{89BE78F0-083B-1A8C-5524-71A9EE401A73}"/>
            </a:ext>
          </a:extLst>
        </xdr:cNvPr>
        <xdr:cNvSpPr txBox="1"/>
      </xdr:nvSpPr>
      <xdr:spPr>
        <a:xfrm>
          <a:off x="6079081" y="6476751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５段目</a:t>
          </a:r>
        </a:p>
      </xdr:txBody>
    </xdr:sp>
    <xdr:clientData/>
  </xdr:oneCellAnchor>
  <xdr:oneCellAnchor>
    <xdr:from>
      <xdr:col>27</xdr:col>
      <xdr:colOff>56392</xdr:colOff>
      <xdr:row>27</xdr:row>
      <xdr:rowOff>63472</xdr:rowOff>
    </xdr:from>
    <xdr:ext cx="530915" cy="285527"/>
    <xdr:sp macro="" textlink="">
      <xdr:nvSpPr>
        <xdr:cNvPr id="193" name="テキスト ボックス 192">
          <a:extLst>
            <a:ext uri="{FF2B5EF4-FFF2-40B4-BE49-F238E27FC236}">
              <a16:creationId xmlns:a16="http://schemas.microsoft.com/office/drawing/2014/main" id="{F932C20B-F1E6-6133-25AE-C1D1B912FD37}"/>
            </a:ext>
          </a:extLst>
        </xdr:cNvPr>
        <xdr:cNvSpPr txBox="1"/>
      </xdr:nvSpPr>
      <xdr:spPr>
        <a:xfrm>
          <a:off x="6195408" y="6202488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６段目</a:t>
          </a:r>
        </a:p>
      </xdr:txBody>
    </xdr:sp>
    <xdr:clientData/>
  </xdr:oneCellAnchor>
  <xdr:oneCellAnchor>
    <xdr:from>
      <xdr:col>28</xdr:col>
      <xdr:colOff>185572</xdr:colOff>
      <xdr:row>27</xdr:row>
      <xdr:rowOff>85580</xdr:rowOff>
    </xdr:from>
    <xdr:ext cx="482761" cy="224998"/>
    <xdr:sp macro="" textlink="$Z$19">
      <xdr:nvSpPr>
        <xdr:cNvPr id="194" name="テキスト ボックス 193">
          <a:extLst>
            <a:ext uri="{FF2B5EF4-FFF2-40B4-BE49-F238E27FC236}">
              <a16:creationId xmlns:a16="http://schemas.microsoft.com/office/drawing/2014/main" id="{64286EB4-1E3A-AD60-C92D-B4C9BF9EB0C5}"/>
            </a:ext>
          </a:extLst>
        </xdr:cNvPr>
        <xdr:cNvSpPr txBox="1"/>
      </xdr:nvSpPr>
      <xdr:spPr>
        <a:xfrm>
          <a:off x="6605253" y="6275987"/>
          <a:ext cx="4827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DA945E9-AFE7-4AAD-8ED6-0DDFAC17AF7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6966</xdr:colOff>
      <xdr:row>12</xdr:row>
      <xdr:rowOff>211298</xdr:rowOff>
    </xdr:from>
    <xdr:ext cx="444352" cy="224998"/>
    <xdr:sp macro="" textlink="$L$25">
      <xdr:nvSpPr>
        <xdr:cNvPr id="285" name="テキスト ボックス 284">
          <a:extLst>
            <a:ext uri="{FF2B5EF4-FFF2-40B4-BE49-F238E27FC236}">
              <a16:creationId xmlns:a16="http://schemas.microsoft.com/office/drawing/2014/main" id="{6FB3A4DF-BB2B-28AE-CFC7-7662F26D521C}"/>
            </a:ext>
          </a:extLst>
        </xdr:cNvPr>
        <xdr:cNvSpPr txBox="1"/>
      </xdr:nvSpPr>
      <xdr:spPr>
        <a:xfrm>
          <a:off x="6472421" y="298220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7BDF131-2DFE-4312-88D0-8A4534E4C6C7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164212</xdr:colOff>
      <xdr:row>1</xdr:row>
      <xdr:rowOff>15540</xdr:rowOff>
    </xdr:from>
    <xdr:ext cx="444352" cy="224998"/>
    <xdr:sp macro="" textlink="$L$24">
      <xdr:nvSpPr>
        <xdr:cNvPr id="286" name="テキスト ボックス 285">
          <a:extLst>
            <a:ext uri="{FF2B5EF4-FFF2-40B4-BE49-F238E27FC236}">
              <a16:creationId xmlns:a16="http://schemas.microsoft.com/office/drawing/2014/main" id="{91A2D948-53FE-BA54-213E-699EC1BD4176}"/>
            </a:ext>
          </a:extLst>
        </xdr:cNvPr>
        <xdr:cNvSpPr txBox="1"/>
      </xdr:nvSpPr>
      <xdr:spPr>
        <a:xfrm>
          <a:off x="7091485" y="2464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AAD2D0A-DC52-408F-95EB-8A41EB41D16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201345</xdr:colOff>
      <xdr:row>1</xdr:row>
      <xdr:rowOff>218653</xdr:rowOff>
    </xdr:from>
    <xdr:to>
      <xdr:col>32</xdr:col>
      <xdr:colOff>138792</xdr:colOff>
      <xdr:row>1</xdr:row>
      <xdr:rowOff>218653</xdr:rowOff>
    </xdr:to>
    <xdr:cxnSp macro="">
      <xdr:nvCxnSpPr>
        <xdr:cNvPr id="287" name="直線コネクタ 286">
          <a:extLst>
            <a:ext uri="{FF2B5EF4-FFF2-40B4-BE49-F238E27FC236}">
              <a16:creationId xmlns:a16="http://schemas.microsoft.com/office/drawing/2014/main" id="{D4630BDD-50F7-4741-9696-981BB502DDF1}"/>
            </a:ext>
          </a:extLst>
        </xdr:cNvPr>
        <xdr:cNvCxnSpPr/>
      </xdr:nvCxnSpPr>
      <xdr:spPr>
        <a:xfrm>
          <a:off x="7128618" y="449562"/>
          <a:ext cx="39926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198943</xdr:colOff>
      <xdr:row>1</xdr:row>
      <xdr:rowOff>146521</xdr:rowOff>
    </xdr:from>
    <xdr:to>
      <xdr:col>30</xdr:col>
      <xdr:colOff>198943</xdr:colOff>
      <xdr:row>2</xdr:row>
      <xdr:rowOff>110129</xdr:rowOff>
    </xdr:to>
    <xdr:cxnSp macro="">
      <xdr:nvCxnSpPr>
        <xdr:cNvPr id="288" name="直線コネクタ 287">
          <a:extLst>
            <a:ext uri="{FF2B5EF4-FFF2-40B4-BE49-F238E27FC236}">
              <a16:creationId xmlns:a16="http://schemas.microsoft.com/office/drawing/2014/main" id="{488056BB-5B62-4E74-BA50-C4E0173BC76F}"/>
            </a:ext>
          </a:extLst>
        </xdr:cNvPr>
        <xdr:cNvCxnSpPr/>
      </xdr:nvCxnSpPr>
      <xdr:spPr>
        <a:xfrm>
          <a:off x="7126216" y="377430"/>
          <a:ext cx="0" cy="19451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141557</xdr:colOff>
      <xdr:row>1</xdr:row>
      <xdr:rowOff>136996</xdr:rowOff>
    </xdr:from>
    <xdr:to>
      <xdr:col>32</xdr:col>
      <xdr:colOff>141557</xdr:colOff>
      <xdr:row>2</xdr:row>
      <xdr:rowOff>92064</xdr:rowOff>
    </xdr:to>
    <xdr:cxnSp macro="">
      <xdr:nvCxnSpPr>
        <xdr:cNvPr id="289" name="直線コネクタ 288">
          <a:extLst>
            <a:ext uri="{FF2B5EF4-FFF2-40B4-BE49-F238E27FC236}">
              <a16:creationId xmlns:a16="http://schemas.microsoft.com/office/drawing/2014/main" id="{E2E1862A-83C7-4928-AE70-4DED8258F847}"/>
            </a:ext>
          </a:extLst>
        </xdr:cNvPr>
        <xdr:cNvCxnSpPr/>
      </xdr:nvCxnSpPr>
      <xdr:spPr>
        <a:xfrm>
          <a:off x="7530648" y="367905"/>
          <a:ext cx="0" cy="18597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230209</xdr:colOff>
      <xdr:row>12</xdr:row>
      <xdr:rowOff>224426</xdr:rowOff>
    </xdr:from>
    <xdr:to>
      <xdr:col>30</xdr:col>
      <xdr:colOff>5772</xdr:colOff>
      <xdr:row>13</xdr:row>
      <xdr:rowOff>309</xdr:rowOff>
    </xdr:to>
    <xdr:cxnSp macro="">
      <xdr:nvCxnSpPr>
        <xdr:cNvPr id="290" name="直線コネクタ 289">
          <a:extLst>
            <a:ext uri="{FF2B5EF4-FFF2-40B4-BE49-F238E27FC236}">
              <a16:creationId xmlns:a16="http://schemas.microsoft.com/office/drawing/2014/main" id="{91586C25-9725-120A-C37D-9B3FB8A78D2C}"/>
            </a:ext>
          </a:extLst>
        </xdr:cNvPr>
        <xdr:cNvCxnSpPr/>
      </xdr:nvCxnSpPr>
      <xdr:spPr>
        <a:xfrm>
          <a:off x="6464754" y="2995335"/>
          <a:ext cx="468291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227807</xdr:colOff>
      <xdr:row>12</xdr:row>
      <xdr:rowOff>152294</xdr:rowOff>
    </xdr:from>
    <xdr:to>
      <xdr:col>28</xdr:col>
      <xdr:colOff>5349</xdr:colOff>
      <xdr:row>13</xdr:row>
      <xdr:rowOff>115902</xdr:rowOff>
    </xdr:to>
    <xdr:cxnSp macro="">
      <xdr:nvCxnSpPr>
        <xdr:cNvPr id="291" name="直線コネクタ 290">
          <a:extLst>
            <a:ext uri="{FF2B5EF4-FFF2-40B4-BE49-F238E27FC236}">
              <a16:creationId xmlns:a16="http://schemas.microsoft.com/office/drawing/2014/main" id="{DE46CFBE-B106-00E8-55E8-650FA9687490}"/>
            </a:ext>
          </a:extLst>
        </xdr:cNvPr>
        <xdr:cNvCxnSpPr/>
      </xdr:nvCxnSpPr>
      <xdr:spPr>
        <a:xfrm>
          <a:off x="6462352" y="2923203"/>
          <a:ext cx="0" cy="19451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8784</xdr:colOff>
      <xdr:row>12</xdr:row>
      <xdr:rowOff>142769</xdr:rowOff>
    </xdr:from>
    <xdr:to>
      <xdr:col>30</xdr:col>
      <xdr:colOff>8784</xdr:colOff>
      <xdr:row>13</xdr:row>
      <xdr:rowOff>97837</xdr:rowOff>
    </xdr:to>
    <xdr:cxnSp macro="">
      <xdr:nvCxnSpPr>
        <xdr:cNvPr id="292" name="直線コネクタ 291">
          <a:extLst>
            <a:ext uri="{FF2B5EF4-FFF2-40B4-BE49-F238E27FC236}">
              <a16:creationId xmlns:a16="http://schemas.microsoft.com/office/drawing/2014/main" id="{FEAAA8FA-B757-C42F-BB73-DBE424247CF2}"/>
            </a:ext>
          </a:extLst>
        </xdr:cNvPr>
        <xdr:cNvCxnSpPr/>
      </xdr:nvCxnSpPr>
      <xdr:spPr>
        <a:xfrm>
          <a:off x="6936057" y="2913678"/>
          <a:ext cx="0" cy="18597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173793</xdr:colOff>
      <xdr:row>31</xdr:row>
      <xdr:rowOff>128589</xdr:rowOff>
    </xdr:from>
    <xdr:ext cx="285527" cy="711413"/>
    <xdr:sp macro="" textlink="">
      <xdr:nvSpPr>
        <xdr:cNvPr id="294" name="テキスト ボックス 293">
          <a:extLst>
            <a:ext uri="{FF2B5EF4-FFF2-40B4-BE49-F238E27FC236}">
              <a16:creationId xmlns:a16="http://schemas.microsoft.com/office/drawing/2014/main" id="{E6CDE0B5-FF0E-4FE8-AA46-5A9DD76F3282}"/>
            </a:ext>
          </a:extLst>
        </xdr:cNvPr>
        <xdr:cNvSpPr txBox="1"/>
      </xdr:nvSpPr>
      <xdr:spPr>
        <a:xfrm rot="17160000">
          <a:off x="14819850" y="4684932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25</xdr:col>
      <xdr:colOff>195249</xdr:colOff>
      <xdr:row>11</xdr:row>
      <xdr:rowOff>130307</xdr:rowOff>
    </xdr:from>
    <xdr:ext cx="530915" cy="285527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9AB7694B-EBF3-4A50-8E72-E3E572A90AB4}"/>
            </a:ext>
          </a:extLst>
        </xdr:cNvPr>
        <xdr:cNvSpPr txBox="1"/>
      </xdr:nvSpPr>
      <xdr:spPr>
        <a:xfrm>
          <a:off x="5910249" y="2644907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基礎部</a:t>
          </a:r>
        </a:p>
      </xdr:txBody>
    </xdr:sp>
    <xdr:clientData/>
  </xdr:oneCellAnchor>
  <xdr:oneCellAnchor>
    <xdr:from>
      <xdr:col>26</xdr:col>
      <xdr:colOff>68441</xdr:colOff>
      <xdr:row>10</xdr:row>
      <xdr:rowOff>123330</xdr:rowOff>
    </xdr:from>
    <xdr:ext cx="530915" cy="285527"/>
    <xdr:sp macro="" textlink="">
      <xdr:nvSpPr>
        <xdr:cNvPr id="296" name="テキスト ボックス 295">
          <a:extLst>
            <a:ext uri="{FF2B5EF4-FFF2-40B4-BE49-F238E27FC236}">
              <a16:creationId xmlns:a16="http://schemas.microsoft.com/office/drawing/2014/main" id="{FF580DAB-04C2-40B0-9C1F-9A3DDF10D599}"/>
            </a:ext>
          </a:extLst>
        </xdr:cNvPr>
        <xdr:cNvSpPr txBox="1"/>
      </xdr:nvSpPr>
      <xdr:spPr>
        <a:xfrm>
          <a:off x="6012041" y="240933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１段目</a:t>
          </a:r>
        </a:p>
      </xdr:txBody>
    </xdr:sp>
    <xdr:clientData/>
  </xdr:oneCellAnchor>
  <xdr:oneCellAnchor>
    <xdr:from>
      <xdr:col>26</xdr:col>
      <xdr:colOff>199024</xdr:colOff>
      <xdr:row>8</xdr:row>
      <xdr:rowOff>221348</xdr:rowOff>
    </xdr:from>
    <xdr:ext cx="530915" cy="285527"/>
    <xdr:sp macro="" textlink="">
      <xdr:nvSpPr>
        <xdr:cNvPr id="297" name="テキスト ボックス 296">
          <a:extLst>
            <a:ext uri="{FF2B5EF4-FFF2-40B4-BE49-F238E27FC236}">
              <a16:creationId xmlns:a16="http://schemas.microsoft.com/office/drawing/2014/main" id="{844EC228-5D30-48FC-8D48-5CFC2E2DA26C}"/>
            </a:ext>
          </a:extLst>
        </xdr:cNvPr>
        <xdr:cNvSpPr txBox="1"/>
      </xdr:nvSpPr>
      <xdr:spPr>
        <a:xfrm>
          <a:off x="6142624" y="2050148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２段目</a:t>
          </a:r>
        </a:p>
      </xdr:txBody>
    </xdr:sp>
    <xdr:clientData/>
  </xdr:oneCellAnchor>
  <xdr:oneCellAnchor>
    <xdr:from>
      <xdr:col>27</xdr:col>
      <xdr:colOff>68116</xdr:colOff>
      <xdr:row>7</xdr:row>
      <xdr:rowOff>77414</xdr:rowOff>
    </xdr:from>
    <xdr:ext cx="530915" cy="285527"/>
    <xdr:sp macro="" textlink="">
      <xdr:nvSpPr>
        <xdr:cNvPr id="298" name="テキスト ボックス 297">
          <a:extLst>
            <a:ext uri="{FF2B5EF4-FFF2-40B4-BE49-F238E27FC236}">
              <a16:creationId xmlns:a16="http://schemas.microsoft.com/office/drawing/2014/main" id="{569437C2-0148-40CE-8BF8-199F96A072A1}"/>
            </a:ext>
          </a:extLst>
        </xdr:cNvPr>
        <xdr:cNvSpPr txBox="1"/>
      </xdr:nvSpPr>
      <xdr:spPr>
        <a:xfrm>
          <a:off x="6240316" y="1677614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３段目</a:t>
          </a:r>
        </a:p>
      </xdr:txBody>
    </xdr:sp>
    <xdr:clientData/>
  </xdr:oneCellAnchor>
  <xdr:oneCellAnchor>
    <xdr:from>
      <xdr:col>27</xdr:col>
      <xdr:colOff>179485</xdr:colOff>
      <xdr:row>5</xdr:row>
      <xdr:rowOff>151009</xdr:rowOff>
    </xdr:from>
    <xdr:ext cx="530915" cy="285527"/>
    <xdr:sp macro="" textlink="">
      <xdr:nvSpPr>
        <xdr:cNvPr id="299" name="テキスト ボックス 298">
          <a:extLst>
            <a:ext uri="{FF2B5EF4-FFF2-40B4-BE49-F238E27FC236}">
              <a16:creationId xmlns:a16="http://schemas.microsoft.com/office/drawing/2014/main" id="{1812E964-2AB1-42D0-B48B-234321B4CB80}"/>
            </a:ext>
          </a:extLst>
        </xdr:cNvPr>
        <xdr:cNvSpPr txBox="1"/>
      </xdr:nvSpPr>
      <xdr:spPr>
        <a:xfrm>
          <a:off x="6351685" y="1294009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４段目</a:t>
          </a:r>
        </a:p>
      </xdr:txBody>
    </xdr:sp>
    <xdr:clientData/>
  </xdr:oneCellAnchor>
  <xdr:oneCellAnchor>
    <xdr:from>
      <xdr:col>28</xdr:col>
      <xdr:colOff>22851</xdr:colOff>
      <xdr:row>4</xdr:row>
      <xdr:rowOff>58202</xdr:rowOff>
    </xdr:from>
    <xdr:ext cx="530915" cy="285527"/>
    <xdr:sp macro="" textlink="">
      <xdr:nvSpPr>
        <xdr:cNvPr id="300" name="テキスト ボックス 299">
          <a:extLst>
            <a:ext uri="{FF2B5EF4-FFF2-40B4-BE49-F238E27FC236}">
              <a16:creationId xmlns:a16="http://schemas.microsoft.com/office/drawing/2014/main" id="{C03D24EF-6F64-4BB7-9145-D823DD7AE361}"/>
            </a:ext>
          </a:extLst>
        </xdr:cNvPr>
        <xdr:cNvSpPr txBox="1"/>
      </xdr:nvSpPr>
      <xdr:spPr>
        <a:xfrm>
          <a:off x="6423651" y="972602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５段目</a:t>
          </a:r>
        </a:p>
      </xdr:txBody>
    </xdr:sp>
    <xdr:clientData/>
  </xdr:oneCellAnchor>
  <xdr:oneCellAnchor>
    <xdr:from>
      <xdr:col>28</xdr:col>
      <xdr:colOff>127707</xdr:colOff>
      <xdr:row>2</xdr:row>
      <xdr:rowOff>214510</xdr:rowOff>
    </xdr:from>
    <xdr:ext cx="530915" cy="285527"/>
    <xdr:sp macro="" textlink="">
      <xdr:nvSpPr>
        <xdr:cNvPr id="301" name="テキスト ボックス 300">
          <a:extLst>
            <a:ext uri="{FF2B5EF4-FFF2-40B4-BE49-F238E27FC236}">
              <a16:creationId xmlns:a16="http://schemas.microsoft.com/office/drawing/2014/main" id="{45336495-596A-46B6-9771-F3137CC76B04}"/>
            </a:ext>
          </a:extLst>
        </xdr:cNvPr>
        <xdr:cNvSpPr txBox="1"/>
      </xdr:nvSpPr>
      <xdr:spPr>
        <a:xfrm>
          <a:off x="6528507" y="67171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６段目</a:t>
          </a:r>
        </a:p>
      </xdr:txBody>
    </xdr:sp>
    <xdr:clientData/>
  </xdr:oneCellAnchor>
  <xdr:oneCellAnchor>
    <xdr:from>
      <xdr:col>65</xdr:col>
      <xdr:colOff>200785</xdr:colOff>
      <xdr:row>26</xdr:row>
      <xdr:rowOff>111842</xdr:rowOff>
    </xdr:from>
    <xdr:ext cx="409788" cy="0"/>
    <xdr:cxnSp macro="">
      <xdr:nvCxnSpPr>
        <xdr:cNvPr id="302" name="直線コネクタ 301">
          <a:extLst>
            <a:ext uri="{FF2B5EF4-FFF2-40B4-BE49-F238E27FC236}">
              <a16:creationId xmlns:a16="http://schemas.microsoft.com/office/drawing/2014/main" id="{0E21E6B8-89DC-471B-838A-5AEB4FB4393B}"/>
            </a:ext>
          </a:extLst>
        </xdr:cNvPr>
        <xdr:cNvCxnSpPr/>
      </xdr:nvCxnSpPr>
      <xdr:spPr>
        <a:xfrm>
          <a:off x="7158176" y="6141581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223159</xdr:colOff>
      <xdr:row>26</xdr:row>
      <xdr:rowOff>113101</xdr:rowOff>
    </xdr:from>
    <xdr:ext cx="615492" cy="2116214"/>
    <xdr:cxnSp macro="">
      <xdr:nvCxnSpPr>
        <xdr:cNvPr id="303" name="直線コネクタ 302">
          <a:extLst>
            <a:ext uri="{FF2B5EF4-FFF2-40B4-BE49-F238E27FC236}">
              <a16:creationId xmlns:a16="http://schemas.microsoft.com/office/drawing/2014/main" id="{905BC346-B724-4BA6-925F-FAA6FAC594F5}"/>
            </a:ext>
          </a:extLst>
        </xdr:cNvPr>
        <xdr:cNvCxnSpPr/>
      </xdr:nvCxnSpPr>
      <xdr:spPr>
        <a:xfrm flipH="1">
          <a:off x="6948637" y="6142840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53721</xdr:colOff>
      <xdr:row>28</xdr:row>
      <xdr:rowOff>59295</xdr:rowOff>
    </xdr:from>
    <xdr:ext cx="224998" cy="213520"/>
    <xdr:sp macro="" textlink="#REF!">
      <xdr:nvSpPr>
        <xdr:cNvPr id="304" name="テキスト ボックス 303">
          <a:extLst>
            <a:ext uri="{FF2B5EF4-FFF2-40B4-BE49-F238E27FC236}">
              <a16:creationId xmlns:a16="http://schemas.microsoft.com/office/drawing/2014/main" id="{5D10A00D-E2B9-413E-8EE6-7C4184A5F0B7}"/>
            </a:ext>
          </a:extLst>
        </xdr:cNvPr>
        <xdr:cNvSpPr txBox="1"/>
      </xdr:nvSpPr>
      <xdr:spPr>
        <a:xfrm rot="17160000">
          <a:off x="7480677" y="6547121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39560</xdr:colOff>
      <xdr:row>26</xdr:row>
      <xdr:rowOff>108338</xdr:rowOff>
    </xdr:from>
    <xdr:ext cx="616740" cy="2120568"/>
    <xdr:cxnSp macro="">
      <xdr:nvCxnSpPr>
        <xdr:cNvPr id="305" name="直線コネクタ 304">
          <a:extLst>
            <a:ext uri="{FF2B5EF4-FFF2-40B4-BE49-F238E27FC236}">
              <a16:creationId xmlns:a16="http://schemas.microsoft.com/office/drawing/2014/main" id="{ACBE7670-918E-456E-82F2-19B4030796F9}"/>
            </a:ext>
          </a:extLst>
        </xdr:cNvPr>
        <xdr:cNvCxnSpPr/>
      </xdr:nvCxnSpPr>
      <xdr:spPr>
        <a:xfrm flipH="1">
          <a:off x="6533125" y="6138077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226930</xdr:colOff>
      <xdr:row>35</xdr:row>
      <xdr:rowOff>175861</xdr:rowOff>
    </xdr:from>
    <xdr:ext cx="481788" cy="91671"/>
    <xdr:sp macro="" textlink="">
      <xdr:nvSpPr>
        <xdr:cNvPr id="306" name="正方形/長方形 305">
          <a:extLst>
            <a:ext uri="{FF2B5EF4-FFF2-40B4-BE49-F238E27FC236}">
              <a16:creationId xmlns:a16="http://schemas.microsoft.com/office/drawing/2014/main" id="{7C4E1359-CD1C-4818-8341-6B548DE1A43E}"/>
            </a:ext>
          </a:extLst>
        </xdr:cNvPr>
        <xdr:cNvSpPr/>
      </xdr:nvSpPr>
      <xdr:spPr>
        <a:xfrm>
          <a:off x="6488582" y="8292818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131310</xdr:colOff>
      <xdr:row>27</xdr:row>
      <xdr:rowOff>6715</xdr:rowOff>
    </xdr:from>
    <xdr:ext cx="573482" cy="1994000"/>
    <xdr:cxnSp macro="">
      <xdr:nvCxnSpPr>
        <xdr:cNvPr id="307" name="直線コネクタ 306">
          <a:extLst>
            <a:ext uri="{FF2B5EF4-FFF2-40B4-BE49-F238E27FC236}">
              <a16:creationId xmlns:a16="http://schemas.microsoft.com/office/drawing/2014/main" id="{CA510720-8D36-45E4-B772-1AD1807CEC8C}"/>
            </a:ext>
          </a:extLst>
        </xdr:cNvPr>
        <xdr:cNvCxnSpPr/>
      </xdr:nvCxnSpPr>
      <xdr:spPr>
        <a:xfrm flipH="1">
          <a:off x="6856788" y="6268367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152159</xdr:colOff>
      <xdr:row>34</xdr:row>
      <xdr:rowOff>35370</xdr:rowOff>
    </xdr:from>
    <xdr:ext cx="312805" cy="0"/>
    <xdr:cxnSp macro="">
      <xdr:nvCxnSpPr>
        <xdr:cNvPr id="308" name="直線コネクタ 307">
          <a:extLst>
            <a:ext uri="{FF2B5EF4-FFF2-40B4-BE49-F238E27FC236}">
              <a16:creationId xmlns:a16="http://schemas.microsoft.com/office/drawing/2014/main" id="{939C6A0E-9949-4442-B1E4-BBCB9F87B02B}"/>
            </a:ext>
          </a:extLst>
        </xdr:cNvPr>
        <xdr:cNvCxnSpPr/>
      </xdr:nvCxnSpPr>
      <xdr:spPr>
        <a:xfrm>
          <a:off x="6645724" y="7920413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22791</xdr:colOff>
      <xdr:row>32</xdr:row>
      <xdr:rowOff>143956</xdr:rowOff>
    </xdr:from>
    <xdr:ext cx="319700" cy="0"/>
    <xdr:cxnSp macro="">
      <xdr:nvCxnSpPr>
        <xdr:cNvPr id="309" name="直線コネクタ 308">
          <a:extLst>
            <a:ext uri="{FF2B5EF4-FFF2-40B4-BE49-F238E27FC236}">
              <a16:creationId xmlns:a16="http://schemas.microsoft.com/office/drawing/2014/main" id="{7860545B-15C6-401E-B6E4-CB96A5DC31EF}"/>
            </a:ext>
          </a:extLst>
        </xdr:cNvPr>
        <xdr:cNvCxnSpPr/>
      </xdr:nvCxnSpPr>
      <xdr:spPr>
        <a:xfrm>
          <a:off x="6748269" y="7565173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126398</xdr:colOff>
      <xdr:row>31</xdr:row>
      <xdr:rowOff>10607</xdr:rowOff>
    </xdr:from>
    <xdr:ext cx="312806" cy="0"/>
    <xdr:cxnSp macro="">
      <xdr:nvCxnSpPr>
        <xdr:cNvPr id="310" name="直線コネクタ 309">
          <a:extLst>
            <a:ext uri="{FF2B5EF4-FFF2-40B4-BE49-F238E27FC236}">
              <a16:creationId xmlns:a16="http://schemas.microsoft.com/office/drawing/2014/main" id="{8A43D21E-C39F-4134-A578-9F6DBD56149A}"/>
            </a:ext>
          </a:extLst>
        </xdr:cNvPr>
        <xdr:cNvCxnSpPr/>
      </xdr:nvCxnSpPr>
      <xdr:spPr>
        <a:xfrm>
          <a:off x="6851876" y="7199911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1383</xdr:colOff>
      <xdr:row>29</xdr:row>
      <xdr:rowOff>108304</xdr:rowOff>
    </xdr:from>
    <xdr:ext cx="310084" cy="0"/>
    <xdr:cxnSp macro="">
      <xdr:nvCxnSpPr>
        <xdr:cNvPr id="311" name="直線コネクタ 310">
          <a:extLst>
            <a:ext uri="{FF2B5EF4-FFF2-40B4-BE49-F238E27FC236}">
              <a16:creationId xmlns:a16="http://schemas.microsoft.com/office/drawing/2014/main" id="{173B7004-4581-435A-AB6D-94B062FE1BD5}"/>
            </a:ext>
          </a:extLst>
        </xdr:cNvPr>
        <xdr:cNvCxnSpPr/>
      </xdr:nvCxnSpPr>
      <xdr:spPr>
        <a:xfrm>
          <a:off x="6958774" y="6833782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118052</xdr:colOff>
      <xdr:row>27</xdr:row>
      <xdr:rowOff>206650</xdr:rowOff>
    </xdr:from>
    <xdr:ext cx="312805" cy="0"/>
    <xdr:cxnSp macro="">
      <xdr:nvCxnSpPr>
        <xdr:cNvPr id="312" name="直線コネクタ 311">
          <a:extLst>
            <a:ext uri="{FF2B5EF4-FFF2-40B4-BE49-F238E27FC236}">
              <a16:creationId xmlns:a16="http://schemas.microsoft.com/office/drawing/2014/main" id="{8D1CB722-AD33-40FB-89F2-CE7EE0724E3F}"/>
            </a:ext>
          </a:extLst>
        </xdr:cNvPr>
        <xdr:cNvCxnSpPr/>
      </xdr:nvCxnSpPr>
      <xdr:spPr>
        <a:xfrm>
          <a:off x="7075443" y="646830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156832</xdr:colOff>
      <xdr:row>27</xdr:row>
      <xdr:rowOff>1216</xdr:rowOff>
    </xdr:from>
    <xdr:ext cx="426244" cy="0"/>
    <xdr:cxnSp macro="">
      <xdr:nvCxnSpPr>
        <xdr:cNvPr id="313" name="直線コネクタ 312">
          <a:extLst>
            <a:ext uri="{FF2B5EF4-FFF2-40B4-BE49-F238E27FC236}">
              <a16:creationId xmlns:a16="http://schemas.microsoft.com/office/drawing/2014/main" id="{B7B72022-6D15-41E9-9ADB-6172C15A324B}"/>
            </a:ext>
          </a:extLst>
        </xdr:cNvPr>
        <xdr:cNvCxnSpPr/>
      </xdr:nvCxnSpPr>
      <xdr:spPr>
        <a:xfrm>
          <a:off x="7114223" y="6262868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224985</xdr:colOff>
      <xdr:row>30</xdr:row>
      <xdr:rowOff>76783</xdr:rowOff>
    </xdr:from>
    <xdr:ext cx="0" cy="1332000"/>
    <xdr:cxnSp macro="">
      <xdr:nvCxnSpPr>
        <xdr:cNvPr id="314" name="直線コネクタ 313">
          <a:extLst>
            <a:ext uri="{FF2B5EF4-FFF2-40B4-BE49-F238E27FC236}">
              <a16:creationId xmlns:a16="http://schemas.microsoft.com/office/drawing/2014/main" id="{AA4D3756-AFD4-43D6-879E-B23F4DE3B8C2}"/>
            </a:ext>
          </a:extLst>
        </xdr:cNvPr>
        <xdr:cNvCxnSpPr/>
      </xdr:nvCxnSpPr>
      <xdr:spPr>
        <a:xfrm>
          <a:off x="7646202" y="7034174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167494</xdr:colOff>
      <xdr:row>30</xdr:row>
      <xdr:rowOff>84103</xdr:rowOff>
    </xdr:from>
    <xdr:ext cx="1558484" cy="0"/>
    <xdr:cxnSp macro="">
      <xdr:nvCxnSpPr>
        <xdr:cNvPr id="315" name="直線コネクタ 314">
          <a:extLst>
            <a:ext uri="{FF2B5EF4-FFF2-40B4-BE49-F238E27FC236}">
              <a16:creationId xmlns:a16="http://schemas.microsoft.com/office/drawing/2014/main" id="{405532C5-B544-40BF-A8BE-CF2F45616E2B}"/>
            </a:ext>
          </a:extLst>
        </xdr:cNvPr>
        <xdr:cNvCxnSpPr/>
      </xdr:nvCxnSpPr>
      <xdr:spPr>
        <a:xfrm>
          <a:off x="6197233" y="7041494"/>
          <a:ext cx="155848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203566</xdr:colOff>
      <xdr:row>31</xdr:row>
      <xdr:rowOff>72147</xdr:rowOff>
    </xdr:from>
    <xdr:ext cx="224998" cy="444352"/>
    <xdr:sp macro="" textlink="$O$7">
      <xdr:nvSpPr>
        <xdr:cNvPr id="316" name="テキスト ボックス 315">
          <a:extLst>
            <a:ext uri="{FF2B5EF4-FFF2-40B4-BE49-F238E27FC236}">
              <a16:creationId xmlns:a16="http://schemas.microsoft.com/office/drawing/2014/main" id="{6341F44E-8159-4698-A47C-74FDA1902D7C}"/>
            </a:ext>
          </a:extLst>
        </xdr:cNvPr>
        <xdr:cNvSpPr txBox="1"/>
      </xdr:nvSpPr>
      <xdr:spPr>
        <a:xfrm rot="16200000">
          <a:off x="7515106" y="73711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5DBB1CF-64D1-4489-9E70-B0DA72EFF94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67</xdr:col>
      <xdr:colOff>197231</xdr:colOff>
      <xdr:row>32</xdr:row>
      <xdr:rowOff>154057</xdr:rowOff>
    </xdr:from>
    <xdr:ext cx="224998" cy="387607"/>
    <xdr:sp macro="" textlink="">
      <xdr:nvSpPr>
        <xdr:cNvPr id="317" name="テキスト ボックス 316">
          <a:extLst>
            <a:ext uri="{FF2B5EF4-FFF2-40B4-BE49-F238E27FC236}">
              <a16:creationId xmlns:a16="http://schemas.microsoft.com/office/drawing/2014/main" id="{B74F0F68-533C-4CFF-9B2C-79ECC91DAA89}"/>
            </a:ext>
          </a:extLst>
        </xdr:cNvPr>
        <xdr:cNvSpPr txBox="1"/>
      </xdr:nvSpPr>
      <xdr:spPr>
        <a:xfrm rot="16200000">
          <a:off x="7537143" y="765657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203254</xdr:colOff>
      <xdr:row>30</xdr:row>
      <xdr:rowOff>106576</xdr:rowOff>
    </xdr:from>
    <xdr:ext cx="164757" cy="0"/>
    <xdr:cxnSp macro="">
      <xdr:nvCxnSpPr>
        <xdr:cNvPr id="318" name="直線コネクタ 317">
          <a:extLst>
            <a:ext uri="{FF2B5EF4-FFF2-40B4-BE49-F238E27FC236}">
              <a16:creationId xmlns:a16="http://schemas.microsoft.com/office/drawing/2014/main" id="{AF792C8C-22CD-46F7-BF7D-D5602BC28A0E}"/>
            </a:ext>
          </a:extLst>
        </xdr:cNvPr>
        <xdr:cNvCxnSpPr/>
      </xdr:nvCxnSpPr>
      <xdr:spPr>
        <a:xfrm>
          <a:off x="7392558" y="7063967"/>
          <a:ext cx="16475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11431</xdr:colOff>
      <xdr:row>30</xdr:row>
      <xdr:rowOff>130639</xdr:rowOff>
    </xdr:from>
    <xdr:ext cx="91834" cy="0"/>
    <xdr:cxnSp macro="">
      <xdr:nvCxnSpPr>
        <xdr:cNvPr id="319" name="直線コネクタ 318">
          <a:extLst>
            <a:ext uri="{FF2B5EF4-FFF2-40B4-BE49-F238E27FC236}">
              <a16:creationId xmlns:a16="http://schemas.microsoft.com/office/drawing/2014/main" id="{6201DC8B-6354-4539-B93E-D776D0C68911}"/>
            </a:ext>
          </a:extLst>
        </xdr:cNvPr>
        <xdr:cNvCxnSpPr/>
      </xdr:nvCxnSpPr>
      <xdr:spPr>
        <a:xfrm>
          <a:off x="7432648" y="7088030"/>
          <a:ext cx="9183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32821</xdr:colOff>
      <xdr:row>30</xdr:row>
      <xdr:rowOff>153772</xdr:rowOff>
    </xdr:from>
    <xdr:ext cx="42778" cy="0"/>
    <xdr:cxnSp macro="">
      <xdr:nvCxnSpPr>
        <xdr:cNvPr id="320" name="直線コネクタ 319">
          <a:extLst>
            <a:ext uri="{FF2B5EF4-FFF2-40B4-BE49-F238E27FC236}">
              <a16:creationId xmlns:a16="http://schemas.microsoft.com/office/drawing/2014/main" id="{98EA3CBC-82D5-4FEF-BEBF-11C68B0BC793}"/>
            </a:ext>
          </a:extLst>
        </xdr:cNvPr>
        <xdr:cNvCxnSpPr/>
      </xdr:nvCxnSpPr>
      <xdr:spPr>
        <a:xfrm>
          <a:off x="7454038" y="7111163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11431</xdr:colOff>
      <xdr:row>30</xdr:row>
      <xdr:rowOff>33948</xdr:rowOff>
    </xdr:from>
    <xdr:ext cx="83813" cy="43783"/>
    <xdr:sp macro="" textlink="">
      <xdr:nvSpPr>
        <xdr:cNvPr id="321" name="二等辺三角形 320">
          <a:extLst>
            <a:ext uri="{FF2B5EF4-FFF2-40B4-BE49-F238E27FC236}">
              <a16:creationId xmlns:a16="http://schemas.microsoft.com/office/drawing/2014/main" id="{CA411DBB-42E0-4D84-B759-E2B9B0178FCC}"/>
            </a:ext>
          </a:extLst>
        </xdr:cNvPr>
        <xdr:cNvSpPr/>
      </xdr:nvSpPr>
      <xdr:spPr>
        <a:xfrm rot="10800000">
          <a:off x="7432648" y="6991339"/>
          <a:ext cx="83813" cy="43783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163089</xdr:colOff>
      <xdr:row>36</xdr:row>
      <xdr:rowOff>36891</xdr:rowOff>
    </xdr:from>
    <xdr:ext cx="635637" cy="0"/>
    <xdr:cxnSp macro="">
      <xdr:nvCxnSpPr>
        <xdr:cNvPr id="322" name="直線コネクタ 321">
          <a:extLst>
            <a:ext uri="{FF2B5EF4-FFF2-40B4-BE49-F238E27FC236}">
              <a16:creationId xmlns:a16="http://schemas.microsoft.com/office/drawing/2014/main" id="{40D9654D-2505-4CEF-B83D-3AE8A2587B34}"/>
            </a:ext>
          </a:extLst>
        </xdr:cNvPr>
        <xdr:cNvCxnSpPr/>
      </xdr:nvCxnSpPr>
      <xdr:spPr>
        <a:xfrm>
          <a:off x="7120480" y="8385761"/>
          <a:ext cx="63563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172919</xdr:colOff>
      <xdr:row>30</xdr:row>
      <xdr:rowOff>207725</xdr:rowOff>
    </xdr:from>
    <xdr:ext cx="444352" cy="224998"/>
    <xdr:sp macro="" textlink="$AT$35">
      <xdr:nvSpPr>
        <xdr:cNvPr id="326" name="テキスト ボックス 325">
          <a:extLst>
            <a:ext uri="{FF2B5EF4-FFF2-40B4-BE49-F238E27FC236}">
              <a16:creationId xmlns:a16="http://schemas.microsoft.com/office/drawing/2014/main" id="{60C032FC-44C1-4DDF-B0BC-F6C8F2A8DED5}"/>
            </a:ext>
          </a:extLst>
        </xdr:cNvPr>
        <xdr:cNvSpPr txBox="1"/>
      </xdr:nvSpPr>
      <xdr:spPr>
        <a:xfrm>
          <a:off x="14233633" y="428986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564F932-0D9B-41BE-A5D2-CEF962D4A139}" type="TxLink">
            <a:rPr kumimoji="1" lang="en-US" altLang="en-US" sz="900" b="0" i="0" u="none" strike="noStrike">
              <a:solidFill>
                <a:srgbClr val="0070C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>
            <a:solidFill>
              <a:srgbClr val="0070C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136127</xdr:colOff>
      <xdr:row>34</xdr:row>
      <xdr:rowOff>15005</xdr:rowOff>
    </xdr:from>
    <xdr:ext cx="37664" cy="42986"/>
    <xdr:sp macro="" textlink="">
      <xdr:nvSpPr>
        <xdr:cNvPr id="329" name="楕円 328">
          <a:extLst>
            <a:ext uri="{FF2B5EF4-FFF2-40B4-BE49-F238E27FC236}">
              <a16:creationId xmlns:a16="http://schemas.microsoft.com/office/drawing/2014/main" id="{39DA4078-5F53-4E3D-96CC-5E7D0E33BB77}"/>
            </a:ext>
          </a:extLst>
        </xdr:cNvPr>
        <xdr:cNvSpPr/>
      </xdr:nvSpPr>
      <xdr:spPr>
        <a:xfrm>
          <a:off x="14427990" y="5005814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180008</xdr:colOff>
      <xdr:row>33</xdr:row>
      <xdr:rowOff>60879</xdr:rowOff>
    </xdr:from>
    <xdr:ext cx="37664" cy="42986"/>
    <xdr:sp macro="" textlink="">
      <xdr:nvSpPr>
        <xdr:cNvPr id="331" name="楕円 330">
          <a:extLst>
            <a:ext uri="{FF2B5EF4-FFF2-40B4-BE49-F238E27FC236}">
              <a16:creationId xmlns:a16="http://schemas.microsoft.com/office/drawing/2014/main" id="{39633926-6FBB-4821-99D9-67E059EB04D7}"/>
            </a:ext>
          </a:extLst>
        </xdr:cNvPr>
        <xdr:cNvSpPr/>
      </xdr:nvSpPr>
      <xdr:spPr>
        <a:xfrm>
          <a:off x="14810408" y="4861479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58</xdr:col>
      <xdr:colOff>180544</xdr:colOff>
      <xdr:row>32</xdr:row>
      <xdr:rowOff>18938</xdr:rowOff>
    </xdr:from>
    <xdr:ext cx="896271" cy="285527"/>
    <xdr:sp macro="" textlink="">
      <xdr:nvSpPr>
        <xdr:cNvPr id="338" name="テキスト ボックス 337">
          <a:extLst>
            <a:ext uri="{FF2B5EF4-FFF2-40B4-BE49-F238E27FC236}">
              <a16:creationId xmlns:a16="http://schemas.microsoft.com/office/drawing/2014/main" id="{04F5ECDA-1267-4711-81A1-C083C0F8CA1B}"/>
            </a:ext>
          </a:extLst>
        </xdr:cNvPr>
        <xdr:cNvSpPr txBox="1"/>
      </xdr:nvSpPr>
      <xdr:spPr>
        <a:xfrm>
          <a:off x="13401570" y="4577912"/>
          <a:ext cx="896271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基準点</a:t>
          </a:r>
          <a:r>
            <a:rPr kumimoji="1" lang="en-US" altLang="ja-JP" sz="900" i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(2</a:t>
          </a:r>
          <a:r>
            <a:rPr kumimoji="1" lang="ja-JP" altLang="en-US" sz="900" i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段目</a:t>
          </a:r>
          <a:r>
            <a:rPr kumimoji="1" lang="en-US" altLang="ja-JP" sz="900" i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144639</xdr:colOff>
      <xdr:row>31</xdr:row>
      <xdr:rowOff>208083</xdr:rowOff>
    </xdr:from>
    <xdr:to>
      <xdr:col>64</xdr:col>
      <xdr:colOff>202096</xdr:colOff>
      <xdr:row>31</xdr:row>
      <xdr:rowOff>208083</xdr:rowOff>
    </xdr:to>
    <xdr:cxnSp macro="">
      <xdr:nvCxnSpPr>
        <xdr:cNvPr id="347" name="直線コネクタ 346">
          <a:extLst>
            <a:ext uri="{FF2B5EF4-FFF2-40B4-BE49-F238E27FC236}">
              <a16:creationId xmlns:a16="http://schemas.microsoft.com/office/drawing/2014/main" id="{2634D2A2-3FBC-424E-ABB4-C1CF4C9B05EA}"/>
            </a:ext>
          </a:extLst>
        </xdr:cNvPr>
        <xdr:cNvCxnSpPr/>
      </xdr:nvCxnSpPr>
      <xdr:spPr>
        <a:xfrm>
          <a:off x="14590889" y="4564889"/>
          <a:ext cx="286763" cy="0"/>
        </a:xfrm>
        <a:prstGeom prst="line">
          <a:avLst/>
        </a:prstGeom>
        <a:ln w="3175">
          <a:solidFill>
            <a:srgbClr val="0070C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144774</xdr:colOff>
      <xdr:row>31</xdr:row>
      <xdr:rowOff>155132</xdr:rowOff>
    </xdr:from>
    <xdr:to>
      <xdr:col>63</xdr:col>
      <xdr:colOff>144774</xdr:colOff>
      <xdr:row>32</xdr:row>
      <xdr:rowOff>118739</xdr:rowOff>
    </xdr:to>
    <xdr:cxnSp macro="">
      <xdr:nvCxnSpPr>
        <xdr:cNvPr id="348" name="直線コネクタ 347">
          <a:extLst>
            <a:ext uri="{FF2B5EF4-FFF2-40B4-BE49-F238E27FC236}">
              <a16:creationId xmlns:a16="http://schemas.microsoft.com/office/drawing/2014/main" id="{F6528D5B-8A14-4EFC-B0C9-E28D3F620360}"/>
            </a:ext>
          </a:extLst>
        </xdr:cNvPr>
        <xdr:cNvCxnSpPr/>
      </xdr:nvCxnSpPr>
      <xdr:spPr>
        <a:xfrm>
          <a:off x="14591024" y="4511938"/>
          <a:ext cx="0" cy="192912"/>
        </a:xfrm>
        <a:prstGeom prst="line">
          <a:avLst/>
        </a:prstGeom>
        <a:ln w="3175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212898</xdr:colOff>
      <xdr:row>36</xdr:row>
      <xdr:rowOff>5987</xdr:rowOff>
    </xdr:from>
    <xdr:ext cx="37664" cy="42986"/>
    <xdr:sp macro="" textlink="">
      <xdr:nvSpPr>
        <xdr:cNvPr id="350" name="楕円 349">
          <a:extLst>
            <a:ext uri="{FF2B5EF4-FFF2-40B4-BE49-F238E27FC236}">
              <a16:creationId xmlns:a16="http://schemas.microsoft.com/office/drawing/2014/main" id="{63D5CA3C-97C4-45B0-8E57-F822151B7998}"/>
            </a:ext>
          </a:extLst>
        </xdr:cNvPr>
        <xdr:cNvSpPr/>
      </xdr:nvSpPr>
      <xdr:spPr>
        <a:xfrm>
          <a:off x="14345719" y="5476756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7030A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64</xdr:col>
      <xdr:colOff>198918</xdr:colOff>
      <xdr:row>31</xdr:row>
      <xdr:rowOff>155132</xdr:rowOff>
    </xdr:from>
    <xdr:to>
      <xdr:col>64</xdr:col>
      <xdr:colOff>198918</xdr:colOff>
      <xdr:row>32</xdr:row>
      <xdr:rowOff>118739</xdr:rowOff>
    </xdr:to>
    <xdr:cxnSp macro="">
      <xdr:nvCxnSpPr>
        <xdr:cNvPr id="351" name="直線コネクタ 350">
          <a:extLst>
            <a:ext uri="{FF2B5EF4-FFF2-40B4-BE49-F238E27FC236}">
              <a16:creationId xmlns:a16="http://schemas.microsoft.com/office/drawing/2014/main" id="{CEC94235-1CB6-24B2-496A-0FF5BDC51743}"/>
            </a:ext>
          </a:extLst>
        </xdr:cNvPr>
        <xdr:cNvCxnSpPr/>
      </xdr:nvCxnSpPr>
      <xdr:spPr>
        <a:xfrm>
          <a:off x="14829318" y="4498532"/>
          <a:ext cx="0" cy="192207"/>
        </a:xfrm>
        <a:prstGeom prst="line">
          <a:avLst/>
        </a:prstGeom>
        <a:ln w="3175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221371</xdr:colOff>
      <xdr:row>29</xdr:row>
      <xdr:rowOff>39839</xdr:rowOff>
    </xdr:from>
    <xdr:ext cx="444352" cy="224998"/>
    <xdr:sp macro="" textlink="$AW$35">
      <xdr:nvSpPr>
        <xdr:cNvPr id="353" name="テキスト ボックス 352">
          <a:extLst>
            <a:ext uri="{FF2B5EF4-FFF2-40B4-BE49-F238E27FC236}">
              <a16:creationId xmlns:a16="http://schemas.microsoft.com/office/drawing/2014/main" id="{F60E37A9-7908-22E9-C26F-FFB354322378}"/>
            </a:ext>
          </a:extLst>
        </xdr:cNvPr>
        <xdr:cNvSpPr txBox="1"/>
      </xdr:nvSpPr>
      <xdr:spPr>
        <a:xfrm>
          <a:off x="14354192" y="391496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9F5176A-A544-4E0C-933A-D0C3CDCA93EE}" type="TxLink">
            <a:rPr kumimoji="1" lang="en-US" altLang="en-US" sz="900" b="0" i="0" u="none" strike="noStrike">
              <a:solidFill>
                <a:srgbClr val="7030A0"/>
              </a:solidFill>
              <a:latin typeface="Times New Roman"/>
              <a:cs typeface="Times New Roman"/>
            </a:rPr>
            <a:pPr/>
            <a:t>1.250</a:t>
          </a:fld>
          <a:endParaRPr kumimoji="1" lang="ja-JP" altLang="en-US" sz="900">
            <a:solidFill>
              <a:srgbClr val="7030A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2778</xdr:colOff>
      <xdr:row>30</xdr:row>
      <xdr:rowOff>35223</xdr:rowOff>
    </xdr:from>
    <xdr:to>
      <xdr:col>64</xdr:col>
      <xdr:colOff>202096</xdr:colOff>
      <xdr:row>30</xdr:row>
      <xdr:rowOff>35223</xdr:rowOff>
    </xdr:to>
    <xdr:cxnSp macro="">
      <xdr:nvCxnSpPr>
        <xdr:cNvPr id="354" name="直線コネクタ 353">
          <a:extLst>
            <a:ext uri="{FF2B5EF4-FFF2-40B4-BE49-F238E27FC236}">
              <a16:creationId xmlns:a16="http://schemas.microsoft.com/office/drawing/2014/main" id="{686BEE10-7301-7BAF-F4BD-2BCA21121EBC}"/>
            </a:ext>
          </a:extLst>
        </xdr:cNvPr>
        <xdr:cNvCxnSpPr/>
      </xdr:nvCxnSpPr>
      <xdr:spPr>
        <a:xfrm>
          <a:off x="14449028" y="4162723"/>
          <a:ext cx="428624" cy="0"/>
        </a:xfrm>
        <a:prstGeom prst="line">
          <a:avLst/>
        </a:prstGeom>
        <a:ln w="3175">
          <a:solidFill>
            <a:srgbClr val="7030A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135</xdr:colOff>
      <xdr:row>29</xdr:row>
      <xdr:rowOff>211578</xdr:rowOff>
    </xdr:from>
    <xdr:to>
      <xdr:col>63</xdr:col>
      <xdr:colOff>135</xdr:colOff>
      <xdr:row>30</xdr:row>
      <xdr:rowOff>175184</xdr:rowOff>
    </xdr:to>
    <xdr:cxnSp macro="">
      <xdr:nvCxnSpPr>
        <xdr:cNvPr id="355" name="直線コネクタ 354">
          <a:extLst>
            <a:ext uri="{FF2B5EF4-FFF2-40B4-BE49-F238E27FC236}">
              <a16:creationId xmlns:a16="http://schemas.microsoft.com/office/drawing/2014/main" id="{A00D1A00-57E9-874F-4A8D-06BDAA6C5807}"/>
            </a:ext>
          </a:extLst>
        </xdr:cNvPr>
        <xdr:cNvCxnSpPr/>
      </xdr:nvCxnSpPr>
      <xdr:spPr>
        <a:xfrm>
          <a:off x="14446385" y="4109772"/>
          <a:ext cx="0" cy="192912"/>
        </a:xfrm>
        <a:prstGeom prst="line">
          <a:avLst/>
        </a:prstGeom>
        <a:ln w="3175">
          <a:solidFill>
            <a:srgbClr val="7030A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198918</xdr:colOff>
      <xdr:row>29</xdr:row>
      <xdr:rowOff>211578</xdr:rowOff>
    </xdr:from>
    <xdr:to>
      <xdr:col>64</xdr:col>
      <xdr:colOff>198918</xdr:colOff>
      <xdr:row>30</xdr:row>
      <xdr:rowOff>175184</xdr:rowOff>
    </xdr:to>
    <xdr:cxnSp macro="">
      <xdr:nvCxnSpPr>
        <xdr:cNvPr id="356" name="直線コネクタ 355">
          <a:extLst>
            <a:ext uri="{FF2B5EF4-FFF2-40B4-BE49-F238E27FC236}">
              <a16:creationId xmlns:a16="http://schemas.microsoft.com/office/drawing/2014/main" id="{2D2A42F9-A67B-7058-350E-E34F1EFAF4B3}"/>
            </a:ext>
          </a:extLst>
        </xdr:cNvPr>
        <xdr:cNvCxnSpPr/>
      </xdr:nvCxnSpPr>
      <xdr:spPr>
        <a:xfrm>
          <a:off x="14874474" y="4109772"/>
          <a:ext cx="0" cy="192912"/>
        </a:xfrm>
        <a:prstGeom prst="line">
          <a:avLst/>
        </a:prstGeom>
        <a:ln w="3175">
          <a:solidFill>
            <a:srgbClr val="7030A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23240</xdr:colOff>
      <xdr:row>32</xdr:row>
      <xdr:rowOff>48975</xdr:rowOff>
    </xdr:from>
    <xdr:ext cx="444352" cy="224998"/>
    <xdr:sp macro="" textlink="$AQ$35">
      <xdr:nvSpPr>
        <xdr:cNvPr id="358" name="テキスト ボックス 357">
          <a:extLst>
            <a:ext uri="{FF2B5EF4-FFF2-40B4-BE49-F238E27FC236}">
              <a16:creationId xmlns:a16="http://schemas.microsoft.com/office/drawing/2014/main" id="{B58DC706-89A5-BFC6-460E-9F7805D06192}"/>
            </a:ext>
          </a:extLst>
        </xdr:cNvPr>
        <xdr:cNvSpPr txBox="1"/>
      </xdr:nvSpPr>
      <xdr:spPr>
        <a:xfrm>
          <a:off x="14196440" y="462097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B46501A-8551-4B06-BEB9-BCB7DC41A3B8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0.500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4536</xdr:colOff>
      <xdr:row>33</xdr:row>
      <xdr:rowOff>62940</xdr:rowOff>
    </xdr:from>
    <xdr:to>
      <xdr:col>63</xdr:col>
      <xdr:colOff>152204</xdr:colOff>
      <xdr:row>33</xdr:row>
      <xdr:rowOff>62940</xdr:rowOff>
    </xdr:to>
    <xdr:cxnSp macro="">
      <xdr:nvCxnSpPr>
        <xdr:cNvPr id="359" name="直線コネクタ 358">
          <a:extLst>
            <a:ext uri="{FF2B5EF4-FFF2-40B4-BE49-F238E27FC236}">
              <a16:creationId xmlns:a16="http://schemas.microsoft.com/office/drawing/2014/main" id="{A20A6B90-2C90-C5AC-61BD-F439F0618D4C}"/>
            </a:ext>
          </a:extLst>
        </xdr:cNvPr>
        <xdr:cNvCxnSpPr/>
      </xdr:nvCxnSpPr>
      <xdr:spPr>
        <a:xfrm>
          <a:off x="14292036" y="4825440"/>
          <a:ext cx="14766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226417</xdr:colOff>
      <xdr:row>33</xdr:row>
      <xdr:rowOff>9989</xdr:rowOff>
    </xdr:from>
    <xdr:to>
      <xdr:col>63</xdr:col>
      <xdr:colOff>2299</xdr:colOff>
      <xdr:row>33</xdr:row>
      <xdr:rowOff>200381</xdr:rowOff>
    </xdr:to>
    <xdr:cxnSp macro="">
      <xdr:nvCxnSpPr>
        <xdr:cNvPr id="360" name="直線コネクタ 359">
          <a:extLst>
            <a:ext uri="{FF2B5EF4-FFF2-40B4-BE49-F238E27FC236}">
              <a16:creationId xmlns:a16="http://schemas.microsoft.com/office/drawing/2014/main" id="{632918C7-0844-FF27-0336-257EA78E9D63}"/>
            </a:ext>
          </a:extLst>
        </xdr:cNvPr>
        <xdr:cNvCxnSpPr/>
      </xdr:nvCxnSpPr>
      <xdr:spPr>
        <a:xfrm>
          <a:off x="14287131" y="4772489"/>
          <a:ext cx="0" cy="19039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149026</xdr:colOff>
      <xdr:row>33</xdr:row>
      <xdr:rowOff>9989</xdr:rowOff>
    </xdr:from>
    <xdr:to>
      <xdr:col>63</xdr:col>
      <xdr:colOff>149026</xdr:colOff>
      <xdr:row>33</xdr:row>
      <xdr:rowOff>200381</xdr:rowOff>
    </xdr:to>
    <xdr:cxnSp macro="">
      <xdr:nvCxnSpPr>
        <xdr:cNvPr id="361" name="直線コネクタ 360">
          <a:extLst>
            <a:ext uri="{FF2B5EF4-FFF2-40B4-BE49-F238E27FC236}">
              <a16:creationId xmlns:a16="http://schemas.microsoft.com/office/drawing/2014/main" id="{B328F088-F140-A739-8FE3-0E2EB56A9A06}"/>
            </a:ext>
          </a:extLst>
        </xdr:cNvPr>
        <xdr:cNvCxnSpPr/>
      </xdr:nvCxnSpPr>
      <xdr:spPr>
        <a:xfrm>
          <a:off x="14436526" y="4772489"/>
          <a:ext cx="0" cy="19039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145703</xdr:colOff>
      <xdr:row>34</xdr:row>
      <xdr:rowOff>67116</xdr:rowOff>
    </xdr:from>
    <xdr:ext cx="444352" cy="224998"/>
    <xdr:sp macro="" textlink="$AQ$36">
      <xdr:nvSpPr>
        <xdr:cNvPr id="363" name="テキスト ボックス 362">
          <a:extLst>
            <a:ext uri="{FF2B5EF4-FFF2-40B4-BE49-F238E27FC236}">
              <a16:creationId xmlns:a16="http://schemas.microsoft.com/office/drawing/2014/main" id="{0C5D7BA9-5775-29A5-8FD5-201EA6399631}"/>
            </a:ext>
          </a:extLst>
        </xdr:cNvPr>
        <xdr:cNvSpPr txBox="1"/>
      </xdr:nvSpPr>
      <xdr:spPr>
        <a:xfrm>
          <a:off x="13861703" y="509631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AB585D8-D2EE-437D-9763-EE1FF3BDD8C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0.100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44178</xdr:colOff>
      <xdr:row>34</xdr:row>
      <xdr:rowOff>189939</xdr:rowOff>
    </xdr:from>
    <xdr:to>
      <xdr:col>63</xdr:col>
      <xdr:colOff>191846</xdr:colOff>
      <xdr:row>34</xdr:row>
      <xdr:rowOff>189939</xdr:rowOff>
    </xdr:to>
    <xdr:cxnSp macro="">
      <xdr:nvCxnSpPr>
        <xdr:cNvPr id="364" name="直線コネクタ 363">
          <a:extLst>
            <a:ext uri="{FF2B5EF4-FFF2-40B4-BE49-F238E27FC236}">
              <a16:creationId xmlns:a16="http://schemas.microsoft.com/office/drawing/2014/main" id="{8785AD5C-1D90-A2F8-F66F-96A659C5FA36}"/>
            </a:ext>
          </a:extLst>
        </xdr:cNvPr>
        <xdr:cNvCxnSpPr/>
      </xdr:nvCxnSpPr>
      <xdr:spPr>
        <a:xfrm>
          <a:off x="14445978" y="5219139"/>
          <a:ext cx="147668" cy="0"/>
        </a:xfrm>
        <a:prstGeom prst="line">
          <a:avLst/>
        </a:prstGeom>
        <a:ln w="3175">
          <a:solidFill>
            <a:schemeClr val="tx1"/>
          </a:solidFill>
          <a:headEnd type="stealth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220701</xdr:colOff>
      <xdr:row>34</xdr:row>
      <xdr:rowOff>136988</xdr:rowOff>
    </xdr:from>
    <xdr:to>
      <xdr:col>62</xdr:col>
      <xdr:colOff>220701</xdr:colOff>
      <xdr:row>35</xdr:row>
      <xdr:rowOff>100595</xdr:rowOff>
    </xdr:to>
    <xdr:cxnSp macro="">
      <xdr:nvCxnSpPr>
        <xdr:cNvPr id="365" name="直線コネクタ 364">
          <a:extLst>
            <a:ext uri="{FF2B5EF4-FFF2-40B4-BE49-F238E27FC236}">
              <a16:creationId xmlns:a16="http://schemas.microsoft.com/office/drawing/2014/main" id="{5D93E3B9-3C9F-743A-36DF-7252FB365DEF}"/>
            </a:ext>
          </a:extLst>
        </xdr:cNvPr>
        <xdr:cNvCxnSpPr/>
      </xdr:nvCxnSpPr>
      <xdr:spPr>
        <a:xfrm>
          <a:off x="14393901" y="5166188"/>
          <a:ext cx="0" cy="192207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43525</xdr:colOff>
      <xdr:row>34</xdr:row>
      <xdr:rowOff>136988</xdr:rowOff>
    </xdr:from>
    <xdr:to>
      <xdr:col>63</xdr:col>
      <xdr:colOff>43525</xdr:colOff>
      <xdr:row>35</xdr:row>
      <xdr:rowOff>100595</xdr:rowOff>
    </xdr:to>
    <xdr:cxnSp macro="">
      <xdr:nvCxnSpPr>
        <xdr:cNvPr id="366" name="直線コネクタ 365">
          <a:extLst>
            <a:ext uri="{FF2B5EF4-FFF2-40B4-BE49-F238E27FC236}">
              <a16:creationId xmlns:a16="http://schemas.microsoft.com/office/drawing/2014/main" id="{4CDF0C39-8EDF-CC79-7035-2841D1FD4D75}"/>
            </a:ext>
          </a:extLst>
        </xdr:cNvPr>
        <xdr:cNvCxnSpPr/>
      </xdr:nvCxnSpPr>
      <xdr:spPr>
        <a:xfrm>
          <a:off x="14445325" y="5166188"/>
          <a:ext cx="0" cy="192207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75927</xdr:colOff>
      <xdr:row>34</xdr:row>
      <xdr:rowOff>189939</xdr:rowOff>
    </xdr:from>
    <xdr:to>
      <xdr:col>63</xdr:col>
      <xdr:colOff>1291</xdr:colOff>
      <xdr:row>34</xdr:row>
      <xdr:rowOff>189939</xdr:rowOff>
    </xdr:to>
    <xdr:cxnSp macro="">
      <xdr:nvCxnSpPr>
        <xdr:cNvPr id="367" name="直線コネクタ 366">
          <a:extLst>
            <a:ext uri="{FF2B5EF4-FFF2-40B4-BE49-F238E27FC236}">
              <a16:creationId xmlns:a16="http://schemas.microsoft.com/office/drawing/2014/main" id="{22639987-5DA8-89EA-11EE-A3FEFE3CE241}"/>
            </a:ext>
          </a:extLst>
        </xdr:cNvPr>
        <xdr:cNvCxnSpPr/>
      </xdr:nvCxnSpPr>
      <xdr:spPr>
        <a:xfrm>
          <a:off x="14249127" y="5219139"/>
          <a:ext cx="149482" cy="0"/>
        </a:xfrm>
        <a:prstGeom prst="line">
          <a:avLst/>
        </a:prstGeom>
        <a:ln w="3175">
          <a:solidFill>
            <a:schemeClr val="tx1"/>
          </a:solidFill>
          <a:headEnd type="none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58</xdr:col>
      <xdr:colOff>206595</xdr:colOff>
      <xdr:row>30</xdr:row>
      <xdr:rowOff>168732</xdr:rowOff>
    </xdr:from>
    <xdr:ext cx="1011687" cy="285527"/>
    <xdr:sp macro="" textlink="">
      <xdr:nvSpPr>
        <xdr:cNvPr id="368" name="テキスト ボックス 367">
          <a:extLst>
            <a:ext uri="{FF2B5EF4-FFF2-40B4-BE49-F238E27FC236}">
              <a16:creationId xmlns:a16="http://schemas.microsoft.com/office/drawing/2014/main" id="{9D5CE24A-D2B6-CEF7-617B-545108FC3004}"/>
            </a:ext>
          </a:extLst>
        </xdr:cNvPr>
        <xdr:cNvSpPr txBox="1"/>
      </xdr:nvSpPr>
      <xdr:spPr>
        <a:xfrm>
          <a:off x="13427621" y="4271809"/>
          <a:ext cx="1011687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rgbClr val="0070C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重心位置</a:t>
          </a:r>
          <a:r>
            <a:rPr kumimoji="1" lang="en-US" altLang="ja-JP" sz="900" i="0">
              <a:solidFill>
                <a:srgbClr val="0070C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(2</a:t>
          </a:r>
          <a:r>
            <a:rPr kumimoji="1" lang="ja-JP" altLang="en-US" sz="900" i="0">
              <a:solidFill>
                <a:srgbClr val="0070C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段目</a:t>
          </a:r>
          <a:r>
            <a:rPr kumimoji="1" lang="en-US" altLang="ja-JP" sz="900" i="0">
              <a:solidFill>
                <a:srgbClr val="0070C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  <a:endParaRPr kumimoji="1" lang="ja-JP" altLang="en-US" sz="900" i="0">
            <a:solidFill>
              <a:srgbClr val="0070C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187057</xdr:colOff>
      <xdr:row>28</xdr:row>
      <xdr:rowOff>220837</xdr:rowOff>
    </xdr:from>
    <xdr:ext cx="1011687" cy="285527"/>
    <xdr:sp macro="" textlink="">
      <xdr:nvSpPr>
        <xdr:cNvPr id="369" name="テキスト ボックス 368">
          <a:extLst>
            <a:ext uri="{FF2B5EF4-FFF2-40B4-BE49-F238E27FC236}">
              <a16:creationId xmlns:a16="http://schemas.microsoft.com/office/drawing/2014/main" id="{FA97DCF0-CE70-EA6A-C768-4B76C130FBCB}"/>
            </a:ext>
          </a:extLst>
        </xdr:cNvPr>
        <xdr:cNvSpPr txBox="1"/>
      </xdr:nvSpPr>
      <xdr:spPr>
        <a:xfrm>
          <a:off x="13408083" y="3868016"/>
          <a:ext cx="1011687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rgbClr val="7030A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作用位置</a:t>
          </a:r>
          <a:r>
            <a:rPr kumimoji="1" lang="en-US" altLang="ja-JP" sz="900" i="0">
              <a:solidFill>
                <a:srgbClr val="7030A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(2</a:t>
          </a:r>
          <a:r>
            <a:rPr kumimoji="1" lang="ja-JP" altLang="en-US" sz="900" i="0">
              <a:solidFill>
                <a:srgbClr val="7030A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段目</a:t>
          </a:r>
          <a:r>
            <a:rPr kumimoji="1" lang="en-US" altLang="ja-JP" sz="900" i="0">
              <a:solidFill>
                <a:srgbClr val="7030A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  <a:endParaRPr kumimoji="1" lang="ja-JP" altLang="en-US" sz="900" i="0">
            <a:solidFill>
              <a:srgbClr val="7030A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72193</xdr:colOff>
      <xdr:row>8</xdr:row>
      <xdr:rowOff>204789</xdr:rowOff>
    </xdr:from>
    <xdr:ext cx="285527" cy="71141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49B89CC-C997-4B92-39ED-68881DB2AB1F}"/>
            </a:ext>
          </a:extLst>
        </xdr:cNvPr>
        <xdr:cNvSpPr txBox="1"/>
      </xdr:nvSpPr>
      <xdr:spPr>
        <a:xfrm rot="17160000">
          <a:off x="6717250" y="2246532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30</xdr:col>
      <xdr:colOff>210739</xdr:colOff>
      <xdr:row>8</xdr:row>
      <xdr:rowOff>65089</xdr:rowOff>
    </xdr:from>
    <xdr:ext cx="224998" cy="328936"/>
    <xdr:sp macro="" textlink="$AU$8">
      <xdr:nvSpPr>
        <xdr:cNvPr id="3" name="テキスト ボックス 2">
          <a:extLst>
            <a:ext uri="{FF2B5EF4-FFF2-40B4-BE49-F238E27FC236}">
              <a16:creationId xmlns:a16="http://schemas.microsoft.com/office/drawing/2014/main" id="{0CBDEDF0-7FEF-AB45-3B54-328C6ECF3B9A}"/>
            </a:ext>
          </a:extLst>
        </xdr:cNvPr>
        <xdr:cNvSpPr txBox="1"/>
      </xdr:nvSpPr>
      <xdr:spPr>
        <a:xfrm rot="17160000">
          <a:off x="7016770" y="1945858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7D1A670-5655-4477-ACF5-AE5B8136BCD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83739</xdr:colOff>
      <xdr:row>18</xdr:row>
      <xdr:rowOff>148129</xdr:rowOff>
    </xdr:from>
    <xdr:ext cx="224998" cy="328936"/>
    <xdr:sp macro="" textlink="$AU$8">
      <xdr:nvSpPr>
        <xdr:cNvPr id="4" name="テキスト ボックス 3">
          <a:extLst>
            <a:ext uri="{FF2B5EF4-FFF2-40B4-BE49-F238E27FC236}">
              <a16:creationId xmlns:a16="http://schemas.microsoft.com/office/drawing/2014/main" id="{EDC0F5CF-56D8-4E47-B27A-62799C07EF25}"/>
            </a:ext>
          </a:extLst>
        </xdr:cNvPr>
        <xdr:cNvSpPr txBox="1"/>
      </xdr:nvSpPr>
      <xdr:spPr>
        <a:xfrm rot="17160000">
          <a:off x="15022655" y="4288521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7D1A670-5655-4477-ACF5-AE5B8136BCD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173793</xdr:colOff>
      <xdr:row>19</xdr:row>
      <xdr:rowOff>47994</xdr:rowOff>
    </xdr:from>
    <xdr:ext cx="285527" cy="71141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39074AA-E073-4FA6-B2F3-7542593A9838}"/>
            </a:ext>
          </a:extLst>
        </xdr:cNvPr>
        <xdr:cNvSpPr txBox="1"/>
      </xdr:nvSpPr>
      <xdr:spPr>
        <a:xfrm rot="17160000">
          <a:off x="14724600" y="4576495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65</xdr:col>
      <xdr:colOff>200785</xdr:colOff>
      <xdr:row>14</xdr:row>
      <xdr:rowOff>31247</xdr:rowOff>
    </xdr:from>
    <xdr:ext cx="409788" cy="0"/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295BABC-54A7-4ED4-A53B-86B8BCC7361D}"/>
            </a:ext>
          </a:extLst>
        </xdr:cNvPr>
        <xdr:cNvCxnSpPr/>
      </xdr:nvCxnSpPr>
      <xdr:spPr>
        <a:xfrm>
          <a:off x="14964535" y="3211132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223159</xdr:colOff>
      <xdr:row>14</xdr:row>
      <xdr:rowOff>32506</xdr:rowOff>
    </xdr:from>
    <xdr:ext cx="615492" cy="2116214"/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C2CDA8A5-ED9F-43F2-98DE-D9DCCD02F2A4}"/>
            </a:ext>
          </a:extLst>
        </xdr:cNvPr>
        <xdr:cNvCxnSpPr/>
      </xdr:nvCxnSpPr>
      <xdr:spPr>
        <a:xfrm flipH="1">
          <a:off x="14759774" y="3212391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53721</xdr:colOff>
      <xdr:row>15</xdr:row>
      <xdr:rowOff>205835</xdr:rowOff>
    </xdr:from>
    <xdr:ext cx="224998" cy="213520"/>
    <xdr:sp macro="" textlink="#REF!">
      <xdr:nvSpPr>
        <xdr:cNvPr id="8" name="テキスト ボックス 7">
          <a:extLst>
            <a:ext uri="{FF2B5EF4-FFF2-40B4-BE49-F238E27FC236}">
              <a16:creationId xmlns:a16="http://schemas.microsoft.com/office/drawing/2014/main" id="{2A990C9D-78AF-41A7-A3E3-BBA8FDAEEECF}"/>
            </a:ext>
          </a:extLst>
        </xdr:cNvPr>
        <xdr:cNvSpPr txBox="1"/>
      </xdr:nvSpPr>
      <xdr:spPr>
        <a:xfrm rot="17160000">
          <a:off x="15277479" y="3607115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39560</xdr:colOff>
      <xdr:row>14</xdr:row>
      <xdr:rowOff>27743</xdr:rowOff>
    </xdr:from>
    <xdr:ext cx="616740" cy="2120568"/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FB8C5555-4B34-45E1-B851-C756B8506453}"/>
            </a:ext>
          </a:extLst>
        </xdr:cNvPr>
        <xdr:cNvCxnSpPr/>
      </xdr:nvCxnSpPr>
      <xdr:spPr>
        <a:xfrm flipH="1">
          <a:off x="14349041" y="3207628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226930</xdr:colOff>
      <xdr:row>23</xdr:row>
      <xdr:rowOff>95267</xdr:rowOff>
    </xdr:from>
    <xdr:ext cx="481788" cy="91671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43DA7F32-E205-40F1-9335-34989C7DB7AF}"/>
            </a:ext>
          </a:extLst>
        </xdr:cNvPr>
        <xdr:cNvSpPr/>
      </xdr:nvSpPr>
      <xdr:spPr>
        <a:xfrm>
          <a:off x="14309276" y="5319363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131310</xdr:colOff>
      <xdr:row>14</xdr:row>
      <xdr:rowOff>153255</xdr:rowOff>
    </xdr:from>
    <xdr:ext cx="573482" cy="1994000"/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CEA50B08-625B-42B3-9FF7-634E3E3BC204}"/>
            </a:ext>
          </a:extLst>
        </xdr:cNvPr>
        <xdr:cNvCxnSpPr/>
      </xdr:nvCxnSpPr>
      <xdr:spPr>
        <a:xfrm flipH="1">
          <a:off x="14667925" y="3333140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152159</xdr:colOff>
      <xdr:row>21</xdr:row>
      <xdr:rowOff>181910</xdr:rowOff>
    </xdr:from>
    <xdr:ext cx="312805" cy="0"/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BA38722-141C-4DEA-A851-F823BD27ADDE}"/>
            </a:ext>
          </a:extLst>
        </xdr:cNvPr>
        <xdr:cNvCxnSpPr/>
      </xdr:nvCxnSpPr>
      <xdr:spPr>
        <a:xfrm>
          <a:off x="14461640" y="495173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22791</xdr:colOff>
      <xdr:row>20</xdr:row>
      <xdr:rowOff>63362</xdr:rowOff>
    </xdr:from>
    <xdr:ext cx="319700" cy="0"/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6D42D695-420A-4B6C-A5E5-EA2B10A16BB1}"/>
            </a:ext>
          </a:extLst>
        </xdr:cNvPr>
        <xdr:cNvCxnSpPr/>
      </xdr:nvCxnSpPr>
      <xdr:spPr>
        <a:xfrm>
          <a:off x="14559406" y="4606054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126398</xdr:colOff>
      <xdr:row>18</xdr:row>
      <xdr:rowOff>157147</xdr:rowOff>
    </xdr:from>
    <xdr:ext cx="312806" cy="0"/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639A2B63-4584-4186-95A5-1BC89F5DDD2B}"/>
            </a:ext>
          </a:extLst>
        </xdr:cNvPr>
        <xdr:cNvCxnSpPr/>
      </xdr:nvCxnSpPr>
      <xdr:spPr>
        <a:xfrm>
          <a:off x="14663013" y="4245570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1383</xdr:colOff>
      <xdr:row>17</xdr:row>
      <xdr:rowOff>27710</xdr:rowOff>
    </xdr:from>
    <xdr:ext cx="310084" cy="0"/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E5CCA9D7-992B-4BA9-9790-983A35D1F05B}"/>
            </a:ext>
          </a:extLst>
        </xdr:cNvPr>
        <xdr:cNvCxnSpPr/>
      </xdr:nvCxnSpPr>
      <xdr:spPr>
        <a:xfrm>
          <a:off x="14765133" y="3888998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118052</xdr:colOff>
      <xdr:row>15</xdr:row>
      <xdr:rowOff>126056</xdr:rowOff>
    </xdr:from>
    <xdr:ext cx="312805" cy="0"/>
    <xdr:cxnSp macro="">
      <xdr:nvCxnSpPr>
        <xdr:cNvPr id="138" name="直線コネクタ 137">
          <a:extLst>
            <a:ext uri="{FF2B5EF4-FFF2-40B4-BE49-F238E27FC236}">
              <a16:creationId xmlns:a16="http://schemas.microsoft.com/office/drawing/2014/main" id="{98336F85-DFC3-4A5F-80EF-280E1B86FA16}"/>
            </a:ext>
          </a:extLst>
        </xdr:cNvPr>
        <xdr:cNvCxnSpPr/>
      </xdr:nvCxnSpPr>
      <xdr:spPr>
        <a:xfrm>
          <a:off x="14881802" y="3533075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156832</xdr:colOff>
      <xdr:row>14</xdr:row>
      <xdr:rowOff>147756</xdr:rowOff>
    </xdr:from>
    <xdr:ext cx="426244" cy="0"/>
    <xdr:cxnSp macro="">
      <xdr:nvCxnSpPr>
        <xdr:cNvPr id="139" name="直線コネクタ 138">
          <a:extLst>
            <a:ext uri="{FF2B5EF4-FFF2-40B4-BE49-F238E27FC236}">
              <a16:creationId xmlns:a16="http://schemas.microsoft.com/office/drawing/2014/main" id="{357E9428-AD63-4257-BCC9-45AA3AEFB0AE}"/>
            </a:ext>
          </a:extLst>
        </xdr:cNvPr>
        <xdr:cNvCxnSpPr/>
      </xdr:nvCxnSpPr>
      <xdr:spPr>
        <a:xfrm>
          <a:off x="14920582" y="332764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224985</xdr:colOff>
      <xdr:row>17</xdr:row>
      <xdr:rowOff>223323</xdr:rowOff>
    </xdr:from>
    <xdr:ext cx="0" cy="1332000"/>
    <xdr:cxnSp macro="">
      <xdr:nvCxnSpPr>
        <xdr:cNvPr id="140" name="直線コネクタ 139">
          <a:extLst>
            <a:ext uri="{FF2B5EF4-FFF2-40B4-BE49-F238E27FC236}">
              <a16:creationId xmlns:a16="http://schemas.microsoft.com/office/drawing/2014/main" id="{11066BB5-CE64-47C9-92B4-3EADBE2C1B8E}"/>
            </a:ext>
          </a:extLst>
        </xdr:cNvPr>
        <xdr:cNvCxnSpPr/>
      </xdr:nvCxnSpPr>
      <xdr:spPr>
        <a:xfrm>
          <a:off x="15443004" y="4084611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167494</xdr:colOff>
      <xdr:row>18</xdr:row>
      <xdr:rowOff>3508</xdr:rowOff>
    </xdr:from>
    <xdr:ext cx="1558484" cy="0"/>
    <xdr:cxnSp macro="">
      <xdr:nvCxnSpPr>
        <xdr:cNvPr id="141" name="直線コネクタ 140">
          <a:extLst>
            <a:ext uri="{FF2B5EF4-FFF2-40B4-BE49-F238E27FC236}">
              <a16:creationId xmlns:a16="http://schemas.microsoft.com/office/drawing/2014/main" id="{27FDEF21-6193-4388-951D-0A9EE07C16AA}"/>
            </a:ext>
          </a:extLst>
        </xdr:cNvPr>
        <xdr:cNvCxnSpPr/>
      </xdr:nvCxnSpPr>
      <xdr:spPr>
        <a:xfrm>
          <a:off x="14022706" y="4091931"/>
          <a:ext cx="155848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203566</xdr:colOff>
      <xdr:row>18</xdr:row>
      <xdr:rowOff>218687</xdr:rowOff>
    </xdr:from>
    <xdr:ext cx="224998" cy="444352"/>
    <xdr:sp macro="" textlink="$O$7">
      <xdr:nvSpPr>
        <xdr:cNvPr id="142" name="テキスト ボックス 141">
          <a:extLst>
            <a:ext uri="{FF2B5EF4-FFF2-40B4-BE49-F238E27FC236}">
              <a16:creationId xmlns:a16="http://schemas.microsoft.com/office/drawing/2014/main" id="{DD146AFC-428D-4DD1-B0BB-9F6803F5CF24}"/>
            </a:ext>
          </a:extLst>
        </xdr:cNvPr>
        <xdr:cNvSpPr txBox="1"/>
      </xdr:nvSpPr>
      <xdr:spPr>
        <a:xfrm rot="16200000">
          <a:off x="15311908" y="441678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5DBB1CF-64D1-4489-9E70-B0DA72EFF94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67</xdr:col>
      <xdr:colOff>197231</xdr:colOff>
      <xdr:row>20</xdr:row>
      <xdr:rowOff>73463</xdr:rowOff>
    </xdr:from>
    <xdr:ext cx="224998" cy="387607"/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F3A7A30F-52A7-4212-9E9C-36EF47C56601}"/>
            </a:ext>
          </a:extLst>
        </xdr:cNvPr>
        <xdr:cNvSpPr txBox="1"/>
      </xdr:nvSpPr>
      <xdr:spPr>
        <a:xfrm rot="16200000">
          <a:off x="15333945" y="469746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203254</xdr:colOff>
      <xdr:row>18</xdr:row>
      <xdr:rowOff>25981</xdr:rowOff>
    </xdr:from>
    <xdr:ext cx="164757" cy="0"/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B9C8573B-702C-4F33-BEF5-DA66203728F2}"/>
            </a:ext>
          </a:extLst>
        </xdr:cNvPr>
        <xdr:cNvCxnSpPr/>
      </xdr:nvCxnSpPr>
      <xdr:spPr>
        <a:xfrm>
          <a:off x="15194139" y="4114404"/>
          <a:ext cx="16475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11431</xdr:colOff>
      <xdr:row>18</xdr:row>
      <xdr:rowOff>50044</xdr:rowOff>
    </xdr:from>
    <xdr:ext cx="91834" cy="0"/>
    <xdr:cxnSp macro="">
      <xdr:nvCxnSpPr>
        <xdr:cNvPr id="145" name="直線コネクタ 144">
          <a:extLst>
            <a:ext uri="{FF2B5EF4-FFF2-40B4-BE49-F238E27FC236}">
              <a16:creationId xmlns:a16="http://schemas.microsoft.com/office/drawing/2014/main" id="{6AB431EA-CA47-4C93-A147-2E4217859A4C}"/>
            </a:ext>
          </a:extLst>
        </xdr:cNvPr>
        <xdr:cNvCxnSpPr/>
      </xdr:nvCxnSpPr>
      <xdr:spPr>
        <a:xfrm>
          <a:off x="15229450" y="4138467"/>
          <a:ext cx="9183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32821</xdr:colOff>
      <xdr:row>18</xdr:row>
      <xdr:rowOff>73177</xdr:rowOff>
    </xdr:from>
    <xdr:ext cx="42778" cy="0"/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EBC51D57-59DE-47F3-A122-707806442F86}"/>
            </a:ext>
          </a:extLst>
        </xdr:cNvPr>
        <xdr:cNvCxnSpPr/>
      </xdr:nvCxnSpPr>
      <xdr:spPr>
        <a:xfrm>
          <a:off x="15250840" y="4161600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67</xdr:col>
      <xdr:colOff>11431</xdr:colOff>
      <xdr:row>17</xdr:row>
      <xdr:rowOff>180488</xdr:rowOff>
    </xdr:from>
    <xdr:ext cx="83813" cy="43783"/>
    <xdr:sp macro="" textlink="">
      <xdr:nvSpPr>
        <xdr:cNvPr id="153" name="二等辺三角形 152">
          <a:extLst>
            <a:ext uri="{FF2B5EF4-FFF2-40B4-BE49-F238E27FC236}">
              <a16:creationId xmlns:a16="http://schemas.microsoft.com/office/drawing/2014/main" id="{D74135CC-5531-43AE-8E4C-D2368D14B8BA}"/>
            </a:ext>
          </a:extLst>
        </xdr:cNvPr>
        <xdr:cNvSpPr/>
      </xdr:nvSpPr>
      <xdr:spPr>
        <a:xfrm rot="10800000">
          <a:off x="15229450" y="4041776"/>
          <a:ext cx="83813" cy="43783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163089</xdr:colOff>
      <xdr:row>23</xdr:row>
      <xdr:rowOff>183431</xdr:rowOff>
    </xdr:from>
    <xdr:ext cx="635637" cy="0"/>
    <xdr:cxnSp macro="">
      <xdr:nvCxnSpPr>
        <xdr:cNvPr id="154" name="直線コネクタ 153">
          <a:extLst>
            <a:ext uri="{FF2B5EF4-FFF2-40B4-BE49-F238E27FC236}">
              <a16:creationId xmlns:a16="http://schemas.microsoft.com/office/drawing/2014/main" id="{9DD03AAA-2718-4D82-9BD6-CC62EE303F7D}"/>
            </a:ext>
          </a:extLst>
        </xdr:cNvPr>
        <xdr:cNvCxnSpPr/>
      </xdr:nvCxnSpPr>
      <xdr:spPr>
        <a:xfrm>
          <a:off x="14926839" y="5407527"/>
          <a:ext cx="63563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224539</xdr:colOff>
      <xdr:row>20</xdr:row>
      <xdr:rowOff>14059</xdr:rowOff>
    </xdr:from>
    <xdr:ext cx="444352" cy="224998"/>
    <xdr:sp macro="" textlink="$BF$10">
      <xdr:nvSpPr>
        <xdr:cNvPr id="155" name="テキスト ボックス 154">
          <a:extLst>
            <a:ext uri="{FF2B5EF4-FFF2-40B4-BE49-F238E27FC236}">
              <a16:creationId xmlns:a16="http://schemas.microsoft.com/office/drawing/2014/main" id="{D9A03B16-A4A6-4996-BA6F-E26D7D56F254}"/>
            </a:ext>
          </a:extLst>
        </xdr:cNvPr>
        <xdr:cNvSpPr txBox="1"/>
      </xdr:nvSpPr>
      <xdr:spPr>
        <a:xfrm>
          <a:off x="14169139" y="458605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737CB49-181E-4C73-9F5F-31D7ED47320B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180008</xdr:colOff>
      <xdr:row>20</xdr:row>
      <xdr:rowOff>207419</xdr:rowOff>
    </xdr:from>
    <xdr:ext cx="37664" cy="42986"/>
    <xdr:sp macro="" textlink="">
      <xdr:nvSpPr>
        <xdr:cNvPr id="157" name="楕円 156">
          <a:extLst>
            <a:ext uri="{FF2B5EF4-FFF2-40B4-BE49-F238E27FC236}">
              <a16:creationId xmlns:a16="http://schemas.microsoft.com/office/drawing/2014/main" id="{33E1758C-2B1B-45DE-A108-982D05CC6337}"/>
            </a:ext>
          </a:extLst>
        </xdr:cNvPr>
        <xdr:cNvSpPr/>
      </xdr:nvSpPr>
      <xdr:spPr>
        <a:xfrm>
          <a:off x="14810408" y="4779419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63</xdr:col>
      <xdr:colOff>144639</xdr:colOff>
      <xdr:row>20</xdr:row>
      <xdr:rowOff>117656</xdr:rowOff>
    </xdr:from>
    <xdr:ext cx="286057" cy="0"/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4D4FF84C-640C-4909-8812-DD0B272138FD}"/>
            </a:ext>
          </a:extLst>
        </xdr:cNvPr>
        <xdr:cNvCxnSpPr/>
      </xdr:nvCxnSpPr>
      <xdr:spPr>
        <a:xfrm>
          <a:off x="14546439" y="4689656"/>
          <a:ext cx="28605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144774</xdr:colOff>
      <xdr:row>20</xdr:row>
      <xdr:rowOff>76995</xdr:rowOff>
    </xdr:from>
    <xdr:ext cx="0" cy="108000"/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B97A7BC7-2732-415E-A966-571204FDA5B7}"/>
            </a:ext>
          </a:extLst>
        </xdr:cNvPr>
        <xdr:cNvCxnSpPr/>
      </xdr:nvCxnSpPr>
      <xdr:spPr>
        <a:xfrm>
          <a:off x="14546574" y="4648995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198918</xdr:colOff>
      <xdr:row>20</xdr:row>
      <xdr:rowOff>76995</xdr:rowOff>
    </xdr:from>
    <xdr:ext cx="0" cy="108000"/>
    <xdr:cxnSp macro="">
      <xdr:nvCxnSpPr>
        <xdr:cNvPr id="162" name="直線コネクタ 161">
          <a:extLst>
            <a:ext uri="{FF2B5EF4-FFF2-40B4-BE49-F238E27FC236}">
              <a16:creationId xmlns:a16="http://schemas.microsoft.com/office/drawing/2014/main" id="{F01A8B26-A6EF-4D67-8C0F-A39AF10DF96E}"/>
            </a:ext>
          </a:extLst>
        </xdr:cNvPr>
        <xdr:cNvCxnSpPr/>
      </xdr:nvCxnSpPr>
      <xdr:spPr>
        <a:xfrm>
          <a:off x="14829318" y="4648995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10317</xdr:colOff>
      <xdr:row>37</xdr:row>
      <xdr:rowOff>37900</xdr:rowOff>
    </xdr:from>
    <xdr:ext cx="444352" cy="224998"/>
    <xdr:sp macro="" textlink="$L$25">
      <xdr:nvSpPr>
        <xdr:cNvPr id="196" name="テキスト ボックス 195">
          <a:extLst>
            <a:ext uri="{FF2B5EF4-FFF2-40B4-BE49-F238E27FC236}">
              <a16:creationId xmlns:a16="http://schemas.microsoft.com/office/drawing/2014/main" id="{28D3C1DD-5924-454E-925C-7D7F9D735A40}"/>
            </a:ext>
          </a:extLst>
        </xdr:cNvPr>
        <xdr:cNvSpPr txBox="1"/>
      </xdr:nvSpPr>
      <xdr:spPr>
        <a:xfrm>
          <a:off x="6472077" y="857665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7BDF131-2DFE-4312-88D0-8A4534E4C6C7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6189</xdr:colOff>
      <xdr:row>37</xdr:row>
      <xdr:rowOff>64090</xdr:rowOff>
    </xdr:from>
    <xdr:to>
      <xdr:col>30</xdr:col>
      <xdr:colOff>9123</xdr:colOff>
      <xdr:row>37</xdr:row>
      <xdr:rowOff>64090</xdr:rowOff>
    </xdr:to>
    <xdr:cxnSp macro="">
      <xdr:nvCxnSpPr>
        <xdr:cNvPr id="197" name="直線コネクタ 196">
          <a:extLst>
            <a:ext uri="{FF2B5EF4-FFF2-40B4-BE49-F238E27FC236}">
              <a16:creationId xmlns:a16="http://schemas.microsoft.com/office/drawing/2014/main" id="{14958ECE-635D-461B-90E9-8973D4C829E0}"/>
            </a:ext>
          </a:extLst>
        </xdr:cNvPr>
        <xdr:cNvCxnSpPr/>
      </xdr:nvCxnSpPr>
      <xdr:spPr>
        <a:xfrm>
          <a:off x="6372576" y="8476816"/>
          <a:ext cx="45767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3787</xdr:colOff>
      <xdr:row>36</xdr:row>
      <xdr:rowOff>219329</xdr:rowOff>
    </xdr:from>
    <xdr:to>
      <xdr:col>28</xdr:col>
      <xdr:colOff>3787</xdr:colOff>
      <xdr:row>37</xdr:row>
      <xdr:rowOff>104503</xdr:rowOff>
    </xdr:to>
    <xdr:cxnSp macro="">
      <xdr:nvCxnSpPr>
        <xdr:cNvPr id="198" name="直線コネクタ 197">
          <a:extLst>
            <a:ext uri="{FF2B5EF4-FFF2-40B4-BE49-F238E27FC236}">
              <a16:creationId xmlns:a16="http://schemas.microsoft.com/office/drawing/2014/main" id="{37AF9DB8-7338-45C5-B610-7C9A15614BDE}"/>
            </a:ext>
          </a:extLst>
        </xdr:cNvPr>
        <xdr:cNvCxnSpPr/>
      </xdr:nvCxnSpPr>
      <xdr:spPr>
        <a:xfrm>
          <a:off x="6465547" y="8527306"/>
          <a:ext cx="0" cy="11595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12135</xdr:colOff>
      <xdr:row>36</xdr:row>
      <xdr:rowOff>209804</xdr:rowOff>
    </xdr:from>
    <xdr:to>
      <xdr:col>30</xdr:col>
      <xdr:colOff>12135</xdr:colOff>
      <xdr:row>37</xdr:row>
      <xdr:rowOff>113212</xdr:rowOff>
    </xdr:to>
    <xdr:cxnSp macro="">
      <xdr:nvCxnSpPr>
        <xdr:cNvPr id="199" name="直線コネクタ 198">
          <a:extLst>
            <a:ext uri="{FF2B5EF4-FFF2-40B4-BE49-F238E27FC236}">
              <a16:creationId xmlns:a16="http://schemas.microsoft.com/office/drawing/2014/main" id="{24DA2BD2-429F-4110-A2F0-B76EED1A0B0B}"/>
            </a:ext>
          </a:extLst>
        </xdr:cNvPr>
        <xdr:cNvCxnSpPr/>
      </xdr:nvCxnSpPr>
      <xdr:spPr>
        <a:xfrm>
          <a:off x="6935449" y="8517781"/>
          <a:ext cx="0" cy="13418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172034</xdr:colOff>
      <xdr:row>25</xdr:row>
      <xdr:rowOff>185276</xdr:rowOff>
    </xdr:from>
    <xdr:ext cx="444352" cy="224998"/>
    <xdr:sp macro="" textlink="$L$24">
      <xdr:nvSpPr>
        <xdr:cNvPr id="200" name="テキスト ボックス 199">
          <a:extLst>
            <a:ext uri="{FF2B5EF4-FFF2-40B4-BE49-F238E27FC236}">
              <a16:creationId xmlns:a16="http://schemas.microsoft.com/office/drawing/2014/main" id="{9F98A38D-7700-4325-8F73-B3091D0A6034}"/>
            </a:ext>
          </a:extLst>
        </xdr:cNvPr>
        <xdr:cNvSpPr txBox="1"/>
      </xdr:nvSpPr>
      <xdr:spPr>
        <a:xfrm>
          <a:off x="7095348" y="595470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AAD2D0A-DC52-408F-95EB-8A41EB41D16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209167</xdr:colOff>
      <xdr:row>26</xdr:row>
      <xdr:rowOff>143601</xdr:rowOff>
    </xdr:from>
    <xdr:to>
      <xdr:col>32</xdr:col>
      <xdr:colOff>146614</xdr:colOff>
      <xdr:row>26</xdr:row>
      <xdr:rowOff>143601</xdr:rowOff>
    </xdr:to>
    <xdr:cxnSp macro="">
      <xdr:nvCxnSpPr>
        <xdr:cNvPr id="201" name="直線コネクタ 200">
          <a:extLst>
            <a:ext uri="{FF2B5EF4-FFF2-40B4-BE49-F238E27FC236}">
              <a16:creationId xmlns:a16="http://schemas.microsoft.com/office/drawing/2014/main" id="{7EE01DD8-E142-4055-86E8-87B11772447E}"/>
            </a:ext>
          </a:extLst>
        </xdr:cNvPr>
        <xdr:cNvCxnSpPr/>
      </xdr:nvCxnSpPr>
      <xdr:spPr>
        <a:xfrm>
          <a:off x="7132481" y="6143807"/>
          <a:ext cx="39900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206765</xdr:colOff>
      <xdr:row>26</xdr:row>
      <xdr:rowOff>108857</xdr:rowOff>
    </xdr:from>
    <xdr:to>
      <xdr:col>30</xdr:col>
      <xdr:colOff>206765</xdr:colOff>
      <xdr:row>26</xdr:row>
      <xdr:rowOff>205842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5DD780BB-F097-4386-B427-77C26A48683B}"/>
            </a:ext>
          </a:extLst>
        </xdr:cNvPr>
        <xdr:cNvCxnSpPr/>
      </xdr:nvCxnSpPr>
      <xdr:spPr>
        <a:xfrm>
          <a:off x="7130079" y="6109063"/>
          <a:ext cx="0" cy="9698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149379</xdr:colOff>
      <xdr:row>26</xdr:row>
      <xdr:rowOff>113211</xdr:rowOff>
    </xdr:from>
    <xdr:to>
      <xdr:col>32</xdr:col>
      <xdr:colOff>149379</xdr:colOff>
      <xdr:row>26</xdr:row>
      <xdr:rowOff>187777</xdr:rowOff>
    </xdr:to>
    <xdr:cxnSp macro="">
      <xdr:nvCxnSpPr>
        <xdr:cNvPr id="203" name="直線コネクタ 202">
          <a:extLst>
            <a:ext uri="{FF2B5EF4-FFF2-40B4-BE49-F238E27FC236}">
              <a16:creationId xmlns:a16="http://schemas.microsoft.com/office/drawing/2014/main" id="{F1B7D50C-0C53-4F56-A90D-3053DBE9FE5D}"/>
            </a:ext>
          </a:extLst>
        </xdr:cNvPr>
        <xdr:cNvCxnSpPr/>
      </xdr:nvCxnSpPr>
      <xdr:spPr>
        <a:xfrm>
          <a:off x="7534248" y="6113417"/>
          <a:ext cx="0" cy="7456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63</xdr:col>
      <xdr:colOff>12009</xdr:colOff>
      <xdr:row>24</xdr:row>
      <xdr:rowOff>40144</xdr:rowOff>
    </xdr:from>
    <xdr:ext cx="444352" cy="224998"/>
    <xdr:sp macro="" textlink="$L$25">
      <xdr:nvSpPr>
        <xdr:cNvPr id="209" name="テキスト ボックス 208">
          <a:extLst>
            <a:ext uri="{FF2B5EF4-FFF2-40B4-BE49-F238E27FC236}">
              <a16:creationId xmlns:a16="http://schemas.microsoft.com/office/drawing/2014/main" id="{8130DFB3-3BCE-4A1E-8221-CDDD4610671B}"/>
            </a:ext>
          </a:extLst>
        </xdr:cNvPr>
        <xdr:cNvSpPr txBox="1"/>
      </xdr:nvSpPr>
      <xdr:spPr>
        <a:xfrm>
          <a:off x="14321490" y="549137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7BDF131-2DFE-4312-88D0-8A4534E4C6C7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7881</xdr:colOff>
      <xdr:row>24</xdr:row>
      <xdr:rowOff>66334</xdr:rowOff>
    </xdr:from>
    <xdr:to>
      <xdr:col>65</xdr:col>
      <xdr:colOff>10815</xdr:colOff>
      <xdr:row>24</xdr:row>
      <xdr:rowOff>66334</xdr:rowOff>
    </xdr:to>
    <xdr:cxnSp macro="">
      <xdr:nvCxnSpPr>
        <xdr:cNvPr id="210" name="直線コネクタ 209">
          <a:extLst>
            <a:ext uri="{FF2B5EF4-FFF2-40B4-BE49-F238E27FC236}">
              <a16:creationId xmlns:a16="http://schemas.microsoft.com/office/drawing/2014/main" id="{26F0D6E7-C287-425A-A0B7-0D91702B4E7D}"/>
            </a:ext>
          </a:extLst>
        </xdr:cNvPr>
        <xdr:cNvCxnSpPr/>
      </xdr:nvCxnSpPr>
      <xdr:spPr>
        <a:xfrm>
          <a:off x="14317362" y="5517565"/>
          <a:ext cx="45720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5479</xdr:colOff>
      <xdr:row>23</xdr:row>
      <xdr:rowOff>221573</xdr:rowOff>
    </xdr:from>
    <xdr:to>
      <xdr:col>63</xdr:col>
      <xdr:colOff>5479</xdr:colOff>
      <xdr:row>24</xdr:row>
      <xdr:rowOff>106747</xdr:rowOff>
    </xdr:to>
    <xdr:cxnSp macro="">
      <xdr:nvCxnSpPr>
        <xdr:cNvPr id="211" name="直線コネクタ 210">
          <a:extLst>
            <a:ext uri="{FF2B5EF4-FFF2-40B4-BE49-F238E27FC236}">
              <a16:creationId xmlns:a16="http://schemas.microsoft.com/office/drawing/2014/main" id="{1E474EB9-09EC-4D81-ADC2-E5B3B4CE5A79}"/>
            </a:ext>
          </a:extLst>
        </xdr:cNvPr>
        <xdr:cNvCxnSpPr/>
      </xdr:nvCxnSpPr>
      <xdr:spPr>
        <a:xfrm>
          <a:off x="14314960" y="5445669"/>
          <a:ext cx="0" cy="11230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13827</xdr:colOff>
      <xdr:row>23</xdr:row>
      <xdr:rowOff>212048</xdr:rowOff>
    </xdr:from>
    <xdr:to>
      <xdr:col>65</xdr:col>
      <xdr:colOff>13827</xdr:colOff>
      <xdr:row>24</xdr:row>
      <xdr:rowOff>115456</xdr:rowOff>
    </xdr:to>
    <xdr:cxnSp macro="">
      <xdr:nvCxnSpPr>
        <xdr:cNvPr id="212" name="直線コネクタ 211">
          <a:extLst>
            <a:ext uri="{FF2B5EF4-FFF2-40B4-BE49-F238E27FC236}">
              <a16:creationId xmlns:a16="http://schemas.microsoft.com/office/drawing/2014/main" id="{604532E3-803A-4725-BA2A-42F35CE81941}"/>
            </a:ext>
          </a:extLst>
        </xdr:cNvPr>
        <xdr:cNvCxnSpPr/>
      </xdr:nvCxnSpPr>
      <xdr:spPr>
        <a:xfrm>
          <a:off x="14777577" y="5436144"/>
          <a:ext cx="0" cy="13054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171406</xdr:colOff>
      <xdr:row>12</xdr:row>
      <xdr:rowOff>195745</xdr:rowOff>
    </xdr:from>
    <xdr:ext cx="444352" cy="224998"/>
    <xdr:sp macro="" textlink="$L$24">
      <xdr:nvSpPr>
        <xdr:cNvPr id="213" name="テキスト ボックス 212">
          <a:extLst>
            <a:ext uri="{FF2B5EF4-FFF2-40B4-BE49-F238E27FC236}">
              <a16:creationId xmlns:a16="http://schemas.microsoft.com/office/drawing/2014/main" id="{5FF6D71E-FFB7-44E4-9494-79C8BA3BAB61}"/>
            </a:ext>
          </a:extLst>
        </xdr:cNvPr>
        <xdr:cNvSpPr txBox="1"/>
      </xdr:nvSpPr>
      <xdr:spPr>
        <a:xfrm>
          <a:off x="14935156" y="292136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AAD2D0A-DC52-408F-95EB-8A41EB41D16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65</xdr:col>
      <xdr:colOff>208539</xdr:colOff>
      <xdr:row>13</xdr:row>
      <xdr:rowOff>154070</xdr:rowOff>
    </xdr:from>
    <xdr:to>
      <xdr:col>67</xdr:col>
      <xdr:colOff>145987</xdr:colOff>
      <xdr:row>13</xdr:row>
      <xdr:rowOff>154070</xdr:rowOff>
    </xdr:to>
    <xdr:cxnSp macro="">
      <xdr:nvCxnSpPr>
        <xdr:cNvPr id="214" name="直線コネクタ 213">
          <a:extLst>
            <a:ext uri="{FF2B5EF4-FFF2-40B4-BE49-F238E27FC236}">
              <a16:creationId xmlns:a16="http://schemas.microsoft.com/office/drawing/2014/main" id="{1023C5FA-9D38-4BCB-BF56-4442A3BFF056}"/>
            </a:ext>
          </a:extLst>
        </xdr:cNvPr>
        <xdr:cNvCxnSpPr/>
      </xdr:nvCxnSpPr>
      <xdr:spPr>
        <a:xfrm>
          <a:off x="14972289" y="3106820"/>
          <a:ext cx="39171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206137</xdr:colOff>
      <xdr:row>13</xdr:row>
      <xdr:rowOff>119326</xdr:rowOff>
    </xdr:from>
    <xdr:to>
      <xdr:col>65</xdr:col>
      <xdr:colOff>206137</xdr:colOff>
      <xdr:row>13</xdr:row>
      <xdr:rowOff>216311</xdr:rowOff>
    </xdr:to>
    <xdr:cxnSp macro="">
      <xdr:nvCxnSpPr>
        <xdr:cNvPr id="215" name="直線コネクタ 214">
          <a:extLst>
            <a:ext uri="{FF2B5EF4-FFF2-40B4-BE49-F238E27FC236}">
              <a16:creationId xmlns:a16="http://schemas.microsoft.com/office/drawing/2014/main" id="{F3ADB35C-2ACC-44FE-94D7-83167803450E}"/>
            </a:ext>
          </a:extLst>
        </xdr:cNvPr>
        <xdr:cNvCxnSpPr/>
      </xdr:nvCxnSpPr>
      <xdr:spPr>
        <a:xfrm>
          <a:off x="14969887" y="3072076"/>
          <a:ext cx="0" cy="9698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67</xdr:col>
      <xdr:colOff>148752</xdr:colOff>
      <xdr:row>13</xdr:row>
      <xdr:rowOff>123680</xdr:rowOff>
    </xdr:from>
    <xdr:to>
      <xdr:col>67</xdr:col>
      <xdr:colOff>148752</xdr:colOff>
      <xdr:row>13</xdr:row>
      <xdr:rowOff>198246</xdr:rowOff>
    </xdr:to>
    <xdr:cxnSp macro="">
      <xdr:nvCxnSpPr>
        <xdr:cNvPr id="216" name="直線コネクタ 215">
          <a:extLst>
            <a:ext uri="{FF2B5EF4-FFF2-40B4-BE49-F238E27FC236}">
              <a16:creationId xmlns:a16="http://schemas.microsoft.com/office/drawing/2014/main" id="{B009750A-307A-4442-8457-AD26A4594B2C}"/>
            </a:ext>
          </a:extLst>
        </xdr:cNvPr>
        <xdr:cNvCxnSpPr/>
      </xdr:nvCxnSpPr>
      <xdr:spPr>
        <a:xfrm>
          <a:off x="15366771" y="3076430"/>
          <a:ext cx="0" cy="7456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91804</xdr:colOff>
      <xdr:row>18</xdr:row>
      <xdr:rowOff>127130</xdr:rowOff>
    </xdr:from>
    <xdr:ext cx="444352" cy="224998"/>
    <xdr:sp macro="" textlink="$BF$9">
      <xdr:nvSpPr>
        <xdr:cNvPr id="222" name="テキスト ボックス 221">
          <a:extLst>
            <a:ext uri="{FF2B5EF4-FFF2-40B4-BE49-F238E27FC236}">
              <a16:creationId xmlns:a16="http://schemas.microsoft.com/office/drawing/2014/main" id="{14306F06-AC59-8189-6252-74AC919EF0C9}"/>
            </a:ext>
          </a:extLst>
        </xdr:cNvPr>
        <xdr:cNvSpPr txBox="1"/>
      </xdr:nvSpPr>
      <xdr:spPr>
        <a:xfrm>
          <a:off x="14265004" y="424193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BDDCFEA-9EFE-4B45-B1E3-82A8C01A96A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47273</xdr:colOff>
      <xdr:row>19</xdr:row>
      <xdr:rowOff>91890</xdr:rowOff>
    </xdr:from>
    <xdr:ext cx="37664" cy="42986"/>
    <xdr:sp macro="" textlink="">
      <xdr:nvSpPr>
        <xdr:cNvPr id="223" name="楕円 222">
          <a:extLst>
            <a:ext uri="{FF2B5EF4-FFF2-40B4-BE49-F238E27FC236}">
              <a16:creationId xmlns:a16="http://schemas.microsoft.com/office/drawing/2014/main" id="{5E936E67-7740-18B3-4895-19A3E0C79AF0}"/>
            </a:ext>
          </a:extLst>
        </xdr:cNvPr>
        <xdr:cNvSpPr/>
      </xdr:nvSpPr>
      <xdr:spPr>
        <a:xfrm>
          <a:off x="14906273" y="4435290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11904</xdr:colOff>
      <xdr:row>19</xdr:row>
      <xdr:rowOff>2127</xdr:rowOff>
    </xdr:from>
    <xdr:ext cx="286057" cy="0"/>
    <xdr:cxnSp macro="">
      <xdr:nvCxnSpPr>
        <xdr:cNvPr id="224" name="直線コネクタ 223">
          <a:extLst>
            <a:ext uri="{FF2B5EF4-FFF2-40B4-BE49-F238E27FC236}">
              <a16:creationId xmlns:a16="http://schemas.microsoft.com/office/drawing/2014/main" id="{24A961AE-4EB2-3878-5681-E62045B5009F}"/>
            </a:ext>
          </a:extLst>
        </xdr:cNvPr>
        <xdr:cNvCxnSpPr/>
      </xdr:nvCxnSpPr>
      <xdr:spPr>
        <a:xfrm>
          <a:off x="14642304" y="4345527"/>
          <a:ext cx="28605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12039</xdr:colOff>
      <xdr:row>18</xdr:row>
      <xdr:rowOff>190066</xdr:rowOff>
    </xdr:from>
    <xdr:ext cx="0" cy="108000"/>
    <xdr:cxnSp macro="">
      <xdr:nvCxnSpPr>
        <xdr:cNvPr id="225" name="直線コネクタ 224">
          <a:extLst>
            <a:ext uri="{FF2B5EF4-FFF2-40B4-BE49-F238E27FC236}">
              <a16:creationId xmlns:a16="http://schemas.microsoft.com/office/drawing/2014/main" id="{60348726-0A16-1135-1384-BDA74F36E566}"/>
            </a:ext>
          </a:extLst>
        </xdr:cNvPr>
        <xdr:cNvCxnSpPr/>
      </xdr:nvCxnSpPr>
      <xdr:spPr>
        <a:xfrm>
          <a:off x="14642439" y="4304866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66183</xdr:colOff>
      <xdr:row>18</xdr:row>
      <xdr:rowOff>190066</xdr:rowOff>
    </xdr:from>
    <xdr:ext cx="0" cy="108000"/>
    <xdr:cxnSp macro="">
      <xdr:nvCxnSpPr>
        <xdr:cNvPr id="226" name="直線コネクタ 225">
          <a:extLst>
            <a:ext uri="{FF2B5EF4-FFF2-40B4-BE49-F238E27FC236}">
              <a16:creationId xmlns:a16="http://schemas.microsoft.com/office/drawing/2014/main" id="{781153C5-A000-E8B1-ECA5-B754F4911AF0}"/>
            </a:ext>
          </a:extLst>
        </xdr:cNvPr>
        <xdr:cNvCxnSpPr/>
      </xdr:nvCxnSpPr>
      <xdr:spPr>
        <a:xfrm>
          <a:off x="14925183" y="4304866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168004</xdr:colOff>
      <xdr:row>17</xdr:row>
      <xdr:rowOff>39537</xdr:rowOff>
    </xdr:from>
    <xdr:ext cx="444352" cy="224998"/>
    <xdr:sp macro="" textlink="$BF$8">
      <xdr:nvSpPr>
        <xdr:cNvPr id="227" name="テキスト ボックス 226">
          <a:extLst>
            <a:ext uri="{FF2B5EF4-FFF2-40B4-BE49-F238E27FC236}">
              <a16:creationId xmlns:a16="http://schemas.microsoft.com/office/drawing/2014/main" id="{4227B3C7-C7F5-5EF6-7436-7EB75B144F66}"/>
            </a:ext>
          </a:extLst>
        </xdr:cNvPr>
        <xdr:cNvSpPr txBox="1"/>
      </xdr:nvSpPr>
      <xdr:spPr>
        <a:xfrm>
          <a:off x="14619110" y="400193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EE6277F-BFF4-4849-A2D7-0A2A3E5D1ADB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0.630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123473</xdr:colOff>
      <xdr:row>18</xdr:row>
      <xdr:rowOff>57477</xdr:rowOff>
    </xdr:from>
    <xdr:ext cx="37664" cy="42986"/>
    <xdr:sp macro="" textlink="">
      <xdr:nvSpPr>
        <xdr:cNvPr id="228" name="楕円 227">
          <a:extLst>
            <a:ext uri="{FF2B5EF4-FFF2-40B4-BE49-F238E27FC236}">
              <a16:creationId xmlns:a16="http://schemas.microsoft.com/office/drawing/2014/main" id="{D87B0711-B64F-4C95-F1DA-89ADE551451F}"/>
            </a:ext>
          </a:extLst>
        </xdr:cNvPr>
        <xdr:cNvSpPr/>
      </xdr:nvSpPr>
      <xdr:spPr>
        <a:xfrm>
          <a:off x="14982473" y="417227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122744</xdr:colOff>
      <xdr:row>17</xdr:row>
      <xdr:rowOff>196314</xdr:rowOff>
    </xdr:from>
    <xdr:ext cx="254792" cy="0"/>
    <xdr:cxnSp macro="">
      <xdr:nvCxnSpPr>
        <xdr:cNvPr id="229" name="直線コネクタ 228">
          <a:extLst>
            <a:ext uri="{FF2B5EF4-FFF2-40B4-BE49-F238E27FC236}">
              <a16:creationId xmlns:a16="http://schemas.microsoft.com/office/drawing/2014/main" id="{5F7763B6-88B8-074B-7FDC-C4195B63DFC7}"/>
            </a:ext>
          </a:extLst>
        </xdr:cNvPr>
        <xdr:cNvCxnSpPr/>
      </xdr:nvCxnSpPr>
      <xdr:spPr>
        <a:xfrm>
          <a:off x="14753144" y="4082514"/>
          <a:ext cx="254792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122879</xdr:colOff>
      <xdr:row>17</xdr:row>
      <xdr:rowOff>155653</xdr:rowOff>
    </xdr:from>
    <xdr:ext cx="0" cy="108000"/>
    <xdr:cxnSp macro="">
      <xdr:nvCxnSpPr>
        <xdr:cNvPr id="230" name="直線コネクタ 229">
          <a:extLst>
            <a:ext uri="{FF2B5EF4-FFF2-40B4-BE49-F238E27FC236}">
              <a16:creationId xmlns:a16="http://schemas.microsoft.com/office/drawing/2014/main" id="{FA0E41E7-70BB-72F7-F6D2-5431505912B6}"/>
            </a:ext>
          </a:extLst>
        </xdr:cNvPr>
        <xdr:cNvCxnSpPr/>
      </xdr:nvCxnSpPr>
      <xdr:spPr>
        <a:xfrm>
          <a:off x="14753279" y="4041853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142383</xdr:colOff>
      <xdr:row>17</xdr:row>
      <xdr:rowOff>155653</xdr:rowOff>
    </xdr:from>
    <xdr:ext cx="0" cy="108000"/>
    <xdr:cxnSp macro="">
      <xdr:nvCxnSpPr>
        <xdr:cNvPr id="231" name="直線コネクタ 230">
          <a:extLst>
            <a:ext uri="{FF2B5EF4-FFF2-40B4-BE49-F238E27FC236}">
              <a16:creationId xmlns:a16="http://schemas.microsoft.com/office/drawing/2014/main" id="{0CB1257D-626E-54CB-A40E-C93694BCC1DD}"/>
            </a:ext>
          </a:extLst>
        </xdr:cNvPr>
        <xdr:cNvCxnSpPr/>
      </xdr:nvCxnSpPr>
      <xdr:spPr>
        <a:xfrm>
          <a:off x="15001383" y="4041853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118634</xdr:colOff>
      <xdr:row>21</xdr:row>
      <xdr:rowOff>156127</xdr:rowOff>
    </xdr:from>
    <xdr:ext cx="444352" cy="224998"/>
    <xdr:sp macro="" textlink="$BF$11">
      <xdr:nvSpPr>
        <xdr:cNvPr id="232" name="テキスト ボックス 231">
          <a:extLst>
            <a:ext uri="{FF2B5EF4-FFF2-40B4-BE49-F238E27FC236}">
              <a16:creationId xmlns:a16="http://schemas.microsoft.com/office/drawing/2014/main" id="{B86C1284-B426-D6BC-551A-DA80DDCC9892}"/>
            </a:ext>
          </a:extLst>
        </xdr:cNvPr>
        <xdr:cNvSpPr txBox="1"/>
      </xdr:nvSpPr>
      <xdr:spPr>
        <a:xfrm>
          <a:off x="14063234" y="49567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C66EEEF-A023-4764-ADCB-40C46F09490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74103</xdr:colOff>
      <xdr:row>22</xdr:row>
      <xdr:rowOff>119595</xdr:rowOff>
    </xdr:from>
    <xdr:ext cx="37664" cy="42986"/>
    <xdr:sp macro="" textlink="">
      <xdr:nvSpPr>
        <xdr:cNvPr id="233" name="楕円 232">
          <a:extLst>
            <a:ext uri="{FF2B5EF4-FFF2-40B4-BE49-F238E27FC236}">
              <a16:creationId xmlns:a16="http://schemas.microsoft.com/office/drawing/2014/main" id="{A430A381-129F-71DE-4980-51EFA0BBB09D}"/>
            </a:ext>
          </a:extLst>
        </xdr:cNvPr>
        <xdr:cNvSpPr/>
      </xdr:nvSpPr>
      <xdr:spPr>
        <a:xfrm>
          <a:off x="14787161" y="5177209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63</xdr:col>
      <xdr:colOff>38734</xdr:colOff>
      <xdr:row>22</xdr:row>
      <xdr:rowOff>29832</xdr:rowOff>
    </xdr:from>
    <xdr:ext cx="286057" cy="0"/>
    <xdr:cxnSp macro="">
      <xdr:nvCxnSpPr>
        <xdr:cNvPr id="234" name="直線コネクタ 233">
          <a:extLst>
            <a:ext uri="{FF2B5EF4-FFF2-40B4-BE49-F238E27FC236}">
              <a16:creationId xmlns:a16="http://schemas.microsoft.com/office/drawing/2014/main" id="{BEBC6E43-DA16-C28F-B5F2-D339260BC4F0}"/>
            </a:ext>
          </a:extLst>
        </xdr:cNvPr>
        <xdr:cNvCxnSpPr/>
      </xdr:nvCxnSpPr>
      <xdr:spPr>
        <a:xfrm>
          <a:off x="14521900" y="5087446"/>
          <a:ext cx="28605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38869</xdr:colOff>
      <xdr:row>21</xdr:row>
      <xdr:rowOff>219063</xdr:rowOff>
    </xdr:from>
    <xdr:ext cx="0" cy="108000"/>
    <xdr:cxnSp macro="">
      <xdr:nvCxnSpPr>
        <xdr:cNvPr id="235" name="直線コネクタ 234">
          <a:extLst>
            <a:ext uri="{FF2B5EF4-FFF2-40B4-BE49-F238E27FC236}">
              <a16:creationId xmlns:a16="http://schemas.microsoft.com/office/drawing/2014/main" id="{CD1267BF-1E34-6192-A516-3971A3695AE8}"/>
            </a:ext>
          </a:extLst>
        </xdr:cNvPr>
        <xdr:cNvCxnSpPr/>
      </xdr:nvCxnSpPr>
      <xdr:spPr>
        <a:xfrm>
          <a:off x="14522035" y="5046785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93013</xdr:colOff>
      <xdr:row>21</xdr:row>
      <xdr:rowOff>219063</xdr:rowOff>
    </xdr:from>
    <xdr:ext cx="0" cy="108000"/>
    <xdr:cxnSp macro="">
      <xdr:nvCxnSpPr>
        <xdr:cNvPr id="236" name="直線コネクタ 235">
          <a:extLst>
            <a:ext uri="{FF2B5EF4-FFF2-40B4-BE49-F238E27FC236}">
              <a16:creationId xmlns:a16="http://schemas.microsoft.com/office/drawing/2014/main" id="{5A9F9166-9827-E8CA-5F04-72D86B734534}"/>
            </a:ext>
          </a:extLst>
        </xdr:cNvPr>
        <xdr:cNvCxnSpPr/>
      </xdr:nvCxnSpPr>
      <xdr:spPr>
        <a:xfrm>
          <a:off x="14806071" y="5046785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81943</xdr:colOff>
      <xdr:row>22</xdr:row>
      <xdr:rowOff>142271</xdr:rowOff>
    </xdr:from>
    <xdr:ext cx="444352" cy="224998"/>
    <xdr:sp macro="" textlink="$BF$12">
      <xdr:nvSpPr>
        <xdr:cNvPr id="237" name="テキスト ボックス 236">
          <a:extLst>
            <a:ext uri="{FF2B5EF4-FFF2-40B4-BE49-F238E27FC236}">
              <a16:creationId xmlns:a16="http://schemas.microsoft.com/office/drawing/2014/main" id="{CB172805-F68E-35DA-B470-7F20A8BA45BE}"/>
            </a:ext>
          </a:extLst>
        </xdr:cNvPr>
        <xdr:cNvSpPr txBox="1"/>
      </xdr:nvSpPr>
      <xdr:spPr>
        <a:xfrm>
          <a:off x="14026543" y="517147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591830D-74CF-4AF8-BF07-694ECFB61EF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0.650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208422</xdr:colOff>
      <xdr:row>23</xdr:row>
      <xdr:rowOff>119596</xdr:rowOff>
    </xdr:from>
    <xdr:ext cx="37664" cy="42986"/>
    <xdr:sp macro="" textlink="">
      <xdr:nvSpPr>
        <xdr:cNvPr id="238" name="楕円 237">
          <a:extLst>
            <a:ext uri="{FF2B5EF4-FFF2-40B4-BE49-F238E27FC236}">
              <a16:creationId xmlns:a16="http://schemas.microsoft.com/office/drawing/2014/main" id="{56CF07E4-6BE8-2607-64E6-76CE3691DDC9}"/>
            </a:ext>
          </a:extLst>
        </xdr:cNvPr>
        <xdr:cNvSpPr/>
      </xdr:nvSpPr>
      <xdr:spPr>
        <a:xfrm>
          <a:off x="14691588" y="5407101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62</xdr:col>
      <xdr:colOff>221673</xdr:colOff>
      <xdr:row>23</xdr:row>
      <xdr:rowOff>9049</xdr:rowOff>
    </xdr:from>
    <xdr:ext cx="237436" cy="0"/>
    <xdr:cxnSp macro="">
      <xdr:nvCxnSpPr>
        <xdr:cNvPr id="239" name="直線コネクタ 238">
          <a:extLst>
            <a:ext uri="{FF2B5EF4-FFF2-40B4-BE49-F238E27FC236}">
              <a16:creationId xmlns:a16="http://schemas.microsoft.com/office/drawing/2014/main" id="{356D5503-1ED1-42B1-13C2-775728D4918D}"/>
            </a:ext>
          </a:extLst>
        </xdr:cNvPr>
        <xdr:cNvCxnSpPr/>
      </xdr:nvCxnSpPr>
      <xdr:spPr>
        <a:xfrm>
          <a:off x="14394873" y="5266849"/>
          <a:ext cx="237436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225147</xdr:colOff>
      <xdr:row>22</xdr:row>
      <xdr:rowOff>198279</xdr:rowOff>
    </xdr:from>
    <xdr:ext cx="0" cy="108000"/>
    <xdr:cxnSp macro="">
      <xdr:nvCxnSpPr>
        <xdr:cNvPr id="240" name="直線コネクタ 239">
          <a:extLst>
            <a:ext uri="{FF2B5EF4-FFF2-40B4-BE49-F238E27FC236}">
              <a16:creationId xmlns:a16="http://schemas.microsoft.com/office/drawing/2014/main" id="{4666708F-E2EB-F9F7-42B9-8909E7D9BF28}"/>
            </a:ext>
          </a:extLst>
        </xdr:cNvPr>
        <xdr:cNvCxnSpPr/>
      </xdr:nvCxnSpPr>
      <xdr:spPr>
        <a:xfrm>
          <a:off x="14398347" y="5227479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227332</xdr:colOff>
      <xdr:row>22</xdr:row>
      <xdr:rowOff>198279</xdr:rowOff>
    </xdr:from>
    <xdr:ext cx="0" cy="108000"/>
    <xdr:cxnSp macro="">
      <xdr:nvCxnSpPr>
        <xdr:cNvPr id="241" name="直線コネクタ 240">
          <a:extLst>
            <a:ext uri="{FF2B5EF4-FFF2-40B4-BE49-F238E27FC236}">
              <a16:creationId xmlns:a16="http://schemas.microsoft.com/office/drawing/2014/main" id="{A824F80F-9FBB-93C4-EE2C-13FB3F271235}"/>
            </a:ext>
          </a:extLst>
        </xdr:cNvPr>
        <xdr:cNvCxnSpPr/>
      </xdr:nvCxnSpPr>
      <xdr:spPr>
        <a:xfrm>
          <a:off x="14629132" y="5227479"/>
          <a:ext cx="0" cy="10800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56336</xdr:colOff>
      <xdr:row>22</xdr:row>
      <xdr:rowOff>156270</xdr:rowOff>
    </xdr:from>
    <xdr:ext cx="530915" cy="285527"/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F12DE6C2-2C1D-45E6-9FE1-B904EE412D4F}"/>
            </a:ext>
          </a:extLst>
        </xdr:cNvPr>
        <xdr:cNvSpPr txBox="1"/>
      </xdr:nvSpPr>
      <xdr:spPr>
        <a:xfrm>
          <a:off x="13808195" y="5284082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基礎部</a:t>
          </a:r>
        </a:p>
      </xdr:txBody>
    </xdr:sp>
    <xdr:clientData/>
  </xdr:oneCellAnchor>
  <xdr:oneCellAnchor>
    <xdr:from>
      <xdr:col>59</xdr:col>
      <xdr:colOff>132728</xdr:colOff>
      <xdr:row>21</xdr:row>
      <xdr:rowOff>129124</xdr:rowOff>
    </xdr:from>
    <xdr:ext cx="530915" cy="285527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1AEFBE68-7CEA-4182-88F2-ECC024BB7FF7}"/>
            </a:ext>
          </a:extLst>
        </xdr:cNvPr>
        <xdr:cNvSpPr txBox="1"/>
      </xdr:nvSpPr>
      <xdr:spPr>
        <a:xfrm>
          <a:off x="13884587" y="5023853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１段目</a:t>
          </a:r>
        </a:p>
      </xdr:txBody>
    </xdr:sp>
    <xdr:clientData/>
  </xdr:oneCellAnchor>
  <xdr:oneCellAnchor>
    <xdr:from>
      <xdr:col>60</xdr:col>
      <xdr:colOff>22012</xdr:colOff>
      <xdr:row>19</xdr:row>
      <xdr:rowOff>222393</xdr:rowOff>
    </xdr:from>
    <xdr:ext cx="530915" cy="285527"/>
    <xdr:sp macro="" textlink="">
      <xdr:nvSpPr>
        <xdr:cNvPr id="247" name="テキスト ボックス 246">
          <a:extLst>
            <a:ext uri="{FF2B5EF4-FFF2-40B4-BE49-F238E27FC236}">
              <a16:creationId xmlns:a16="http://schemas.microsoft.com/office/drawing/2014/main" id="{2767EE78-E3BE-4FE1-A312-F2FC75B5C314}"/>
            </a:ext>
          </a:extLst>
        </xdr:cNvPr>
        <xdr:cNvSpPr txBox="1"/>
      </xdr:nvSpPr>
      <xdr:spPr>
        <a:xfrm>
          <a:off x="14006953" y="4650958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２段目</a:t>
          </a:r>
        </a:p>
      </xdr:txBody>
    </xdr:sp>
    <xdr:clientData/>
  </xdr:oneCellAnchor>
  <xdr:oneCellAnchor>
    <xdr:from>
      <xdr:col>60</xdr:col>
      <xdr:colOff>119704</xdr:colOff>
      <xdr:row>18</xdr:row>
      <xdr:rowOff>106102</xdr:rowOff>
    </xdr:from>
    <xdr:ext cx="530915" cy="285527"/>
    <xdr:sp macro="" textlink="">
      <xdr:nvSpPr>
        <xdr:cNvPr id="248" name="テキスト ボックス 247">
          <a:extLst>
            <a:ext uri="{FF2B5EF4-FFF2-40B4-BE49-F238E27FC236}">
              <a16:creationId xmlns:a16="http://schemas.microsoft.com/office/drawing/2014/main" id="{0BBCE96E-B2EF-4D1A-ACC6-540BD4C417F8}"/>
            </a:ext>
          </a:extLst>
        </xdr:cNvPr>
        <xdr:cNvSpPr txBox="1"/>
      </xdr:nvSpPr>
      <xdr:spPr>
        <a:xfrm>
          <a:off x="14104645" y="4301584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３段目</a:t>
          </a:r>
        </a:p>
      </xdr:txBody>
    </xdr:sp>
    <xdr:clientData/>
  </xdr:oneCellAnchor>
  <xdr:oneCellAnchor>
    <xdr:from>
      <xdr:col>61</xdr:col>
      <xdr:colOff>27872</xdr:colOff>
      <xdr:row>17</xdr:row>
      <xdr:rowOff>20840</xdr:rowOff>
    </xdr:from>
    <xdr:ext cx="530915" cy="285527"/>
    <xdr:sp macro="" textlink="">
      <xdr:nvSpPr>
        <xdr:cNvPr id="249" name="テキスト ボックス 248">
          <a:extLst>
            <a:ext uri="{FF2B5EF4-FFF2-40B4-BE49-F238E27FC236}">
              <a16:creationId xmlns:a16="http://schemas.microsoft.com/office/drawing/2014/main" id="{9DB9CB34-9BD6-4292-8A08-A75B4F88801A}"/>
            </a:ext>
          </a:extLst>
        </xdr:cNvPr>
        <xdr:cNvSpPr txBox="1"/>
      </xdr:nvSpPr>
      <xdr:spPr>
        <a:xfrm>
          <a:off x="14245896" y="398324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４段目</a:t>
          </a:r>
        </a:p>
      </xdr:txBody>
    </xdr:sp>
    <xdr:clientData/>
  </xdr:oneCellAnchor>
  <xdr:oneCellAnchor>
    <xdr:from>
      <xdr:col>61</xdr:col>
      <xdr:colOff>171653</xdr:colOff>
      <xdr:row>15</xdr:row>
      <xdr:rowOff>94915</xdr:rowOff>
    </xdr:from>
    <xdr:ext cx="530915" cy="285527"/>
    <xdr:sp macro="" textlink="">
      <xdr:nvSpPr>
        <xdr:cNvPr id="250" name="テキスト ボックス 249">
          <a:extLst>
            <a:ext uri="{FF2B5EF4-FFF2-40B4-BE49-F238E27FC236}">
              <a16:creationId xmlns:a16="http://schemas.microsoft.com/office/drawing/2014/main" id="{135AA248-4BB7-4746-B24B-8DFC9CB3673B}"/>
            </a:ext>
          </a:extLst>
        </xdr:cNvPr>
        <xdr:cNvSpPr txBox="1"/>
      </xdr:nvSpPr>
      <xdr:spPr>
        <a:xfrm>
          <a:off x="14157388" y="353403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５段目</a:t>
          </a:r>
        </a:p>
      </xdr:txBody>
    </xdr:sp>
    <xdr:clientData/>
  </xdr:oneCellAnchor>
  <xdr:oneCellAnchor>
    <xdr:from>
      <xdr:col>62</xdr:col>
      <xdr:colOff>60610</xdr:colOff>
      <xdr:row>14</xdr:row>
      <xdr:rowOff>48023</xdr:rowOff>
    </xdr:from>
    <xdr:ext cx="530915" cy="285527"/>
    <xdr:sp macro="" textlink="">
      <xdr:nvSpPr>
        <xdr:cNvPr id="251" name="テキスト ボックス 250">
          <a:extLst>
            <a:ext uri="{FF2B5EF4-FFF2-40B4-BE49-F238E27FC236}">
              <a16:creationId xmlns:a16="http://schemas.microsoft.com/office/drawing/2014/main" id="{F122A92A-9047-489B-A790-BD80C3D15484}"/>
            </a:ext>
          </a:extLst>
        </xdr:cNvPr>
        <xdr:cNvSpPr txBox="1"/>
      </xdr:nvSpPr>
      <xdr:spPr>
        <a:xfrm>
          <a:off x="14275619" y="3257864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６段目</a:t>
          </a:r>
        </a:p>
      </xdr:txBody>
    </xdr:sp>
    <xdr:clientData/>
  </xdr:oneCellAnchor>
  <xdr:oneCellAnchor>
    <xdr:from>
      <xdr:col>63</xdr:col>
      <xdr:colOff>134286</xdr:colOff>
      <xdr:row>15</xdr:row>
      <xdr:rowOff>100231</xdr:rowOff>
    </xdr:from>
    <xdr:ext cx="444352" cy="224998"/>
    <xdr:sp macro="" textlink="$BF$7">
      <xdr:nvSpPr>
        <xdr:cNvPr id="252" name="テキスト ボックス 251">
          <a:extLst>
            <a:ext uri="{FF2B5EF4-FFF2-40B4-BE49-F238E27FC236}">
              <a16:creationId xmlns:a16="http://schemas.microsoft.com/office/drawing/2014/main" id="{5350A978-08C3-DFC5-57A8-261277654AE8}"/>
            </a:ext>
          </a:extLst>
        </xdr:cNvPr>
        <xdr:cNvSpPr txBox="1"/>
      </xdr:nvSpPr>
      <xdr:spPr>
        <a:xfrm>
          <a:off x="14578569" y="35393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00A1578-87D3-41B5-870D-3BA2749B26AE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215206</xdr:colOff>
      <xdr:row>14</xdr:row>
      <xdr:rowOff>66514</xdr:rowOff>
    </xdr:from>
    <xdr:ext cx="444352" cy="224998"/>
    <xdr:sp macro="" textlink="$BF$6">
      <xdr:nvSpPr>
        <xdr:cNvPr id="253" name="テキスト ボックス 252">
          <a:extLst>
            <a:ext uri="{FF2B5EF4-FFF2-40B4-BE49-F238E27FC236}">
              <a16:creationId xmlns:a16="http://schemas.microsoft.com/office/drawing/2014/main" id="{39F31F73-3CF9-0165-AA85-527E227A4AC7}"/>
            </a:ext>
          </a:extLst>
        </xdr:cNvPr>
        <xdr:cNvSpPr txBox="1"/>
      </xdr:nvSpPr>
      <xdr:spPr>
        <a:xfrm>
          <a:off x="14659489" y="32763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1770AFD-3C05-4286-97F0-665E3A490A4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112436</xdr:colOff>
      <xdr:row>4</xdr:row>
      <xdr:rowOff>24141</xdr:rowOff>
    </xdr:from>
    <xdr:ext cx="224998" cy="444352"/>
    <xdr:sp macro="" textlink="$R$8">
      <xdr:nvSpPr>
        <xdr:cNvPr id="254" name="テキスト ボックス 253">
          <a:extLst>
            <a:ext uri="{FF2B5EF4-FFF2-40B4-BE49-F238E27FC236}">
              <a16:creationId xmlns:a16="http://schemas.microsoft.com/office/drawing/2014/main" id="{0656BC2D-F2E2-5F7E-BF59-2956F86EE7D3}"/>
            </a:ext>
          </a:extLst>
        </xdr:cNvPr>
        <xdr:cNvSpPr txBox="1"/>
      </xdr:nvSpPr>
      <xdr:spPr>
        <a:xfrm rot="16200000">
          <a:off x="5450248" y="104173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D130845-5680-4D39-A966-077720CD4AAB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42847</xdr:colOff>
      <xdr:row>2</xdr:row>
      <xdr:rowOff>147313</xdr:rowOff>
    </xdr:from>
    <xdr:ext cx="224998" cy="444352"/>
    <xdr:sp macro="" textlink="$R$7">
      <xdr:nvSpPr>
        <xdr:cNvPr id="255" name="テキスト ボックス 254">
          <a:extLst>
            <a:ext uri="{FF2B5EF4-FFF2-40B4-BE49-F238E27FC236}">
              <a16:creationId xmlns:a16="http://schemas.microsoft.com/office/drawing/2014/main" id="{7C4B45B5-A4C6-EC5B-E2B0-728D3B17C89F}"/>
            </a:ext>
          </a:extLst>
        </xdr:cNvPr>
        <xdr:cNvSpPr txBox="1"/>
      </xdr:nvSpPr>
      <xdr:spPr>
        <a:xfrm rot="16200000">
          <a:off x="5380659" y="71094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EC7D328-6FEC-418A-B8D6-35950F01813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207585</xdr:colOff>
      <xdr:row>27</xdr:row>
      <xdr:rowOff>135459</xdr:rowOff>
    </xdr:from>
    <xdr:to>
      <xdr:col>30</xdr:col>
      <xdr:colOff>148828</xdr:colOff>
      <xdr:row>30</xdr:row>
      <xdr:rowOff>436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A36FC4D5-A9D8-48EF-8959-05455E9C64BD}"/>
            </a:ext>
          </a:extLst>
        </xdr:cNvPr>
        <xdr:cNvCxnSpPr/>
      </xdr:nvCxnSpPr>
      <xdr:spPr>
        <a:xfrm flipV="1">
          <a:off x="7065585" y="4707459"/>
          <a:ext cx="169843" cy="55077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226610</xdr:colOff>
      <xdr:row>28</xdr:row>
      <xdr:rowOff>192989</xdr:rowOff>
    </xdr:from>
    <xdr:to>
      <xdr:col>29</xdr:col>
      <xdr:colOff>226610</xdr:colOff>
      <xdr:row>31</xdr:row>
      <xdr:rowOff>190204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A4DBF26-58BB-4E45-A0E5-5AC6B8ED85F2}"/>
            </a:ext>
          </a:extLst>
        </xdr:cNvPr>
        <xdr:cNvCxnSpPr/>
      </xdr:nvCxnSpPr>
      <xdr:spPr>
        <a:xfrm>
          <a:off x="6915734" y="6651454"/>
          <a:ext cx="0" cy="68919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175421</xdr:colOff>
      <xdr:row>27</xdr:row>
      <xdr:rowOff>219910</xdr:rowOff>
    </xdr:from>
    <xdr:ext cx="323807" cy="2249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35F6121-8797-497A-9038-E113B892F4E5}"/>
            </a:ext>
          </a:extLst>
        </xdr:cNvPr>
        <xdr:cNvSpPr txBox="1"/>
      </xdr:nvSpPr>
      <xdr:spPr>
        <a:xfrm>
          <a:off x="6633886" y="6447715"/>
          <a:ext cx="3238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132445</xdr:colOff>
      <xdr:row>32</xdr:row>
      <xdr:rowOff>169010</xdr:rowOff>
    </xdr:from>
    <xdr:ext cx="365165" cy="22499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F7EDDC5-308F-4006-8A7B-014A7615D729}"/>
            </a:ext>
          </a:extLst>
        </xdr:cNvPr>
        <xdr:cNvSpPr txBox="1"/>
      </xdr:nvSpPr>
      <xdr:spPr>
        <a:xfrm>
          <a:off x="5668272" y="7550113"/>
          <a:ext cx="36516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179999</xdr:colOff>
      <xdr:row>32</xdr:row>
      <xdr:rowOff>176074</xdr:rowOff>
    </xdr:from>
    <xdr:ext cx="444352" cy="224998"/>
    <xdr:sp macro="" textlink="$V$26">
      <xdr:nvSpPr>
        <xdr:cNvPr id="9" name="テキスト ボックス 8">
          <a:extLst>
            <a:ext uri="{FF2B5EF4-FFF2-40B4-BE49-F238E27FC236}">
              <a16:creationId xmlns:a16="http://schemas.microsoft.com/office/drawing/2014/main" id="{E3CD62CB-BFE7-4639-B440-F97BF7C7AEC0}"/>
            </a:ext>
          </a:extLst>
        </xdr:cNvPr>
        <xdr:cNvSpPr txBox="1"/>
      </xdr:nvSpPr>
      <xdr:spPr>
        <a:xfrm>
          <a:off x="5946485" y="755717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B78893C-CA14-4B07-A1F2-33288652364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1.190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128179</xdr:colOff>
      <xdr:row>27</xdr:row>
      <xdr:rowOff>219428</xdr:rowOff>
    </xdr:from>
    <xdr:ext cx="249748" cy="224998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867EB82-1664-4133-B71B-A0A9CEF49356}"/>
            </a:ext>
          </a:extLst>
        </xdr:cNvPr>
        <xdr:cNvSpPr txBox="1"/>
      </xdr:nvSpPr>
      <xdr:spPr>
        <a:xfrm>
          <a:off x="6817303" y="6447233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160766</xdr:colOff>
      <xdr:row>32</xdr:row>
      <xdr:rowOff>72611</xdr:rowOff>
    </xdr:from>
    <xdr:to>
      <xdr:col>30</xdr:col>
      <xdr:colOff>160766</xdr:colOff>
      <xdr:row>34</xdr:row>
      <xdr:rowOff>74685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C44F356-BD82-4997-8ECD-3E6EC17C2C9D}"/>
            </a:ext>
          </a:extLst>
        </xdr:cNvPr>
        <xdr:cNvCxnSpPr/>
      </xdr:nvCxnSpPr>
      <xdr:spPr>
        <a:xfrm>
          <a:off x="7247366" y="5787611"/>
          <a:ext cx="0" cy="45927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70298</xdr:colOff>
      <xdr:row>33</xdr:row>
      <xdr:rowOff>232180</xdr:rowOff>
    </xdr:from>
    <xdr:ext cx="349135" cy="224998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9D4C74C8-C41A-4A93-B394-4336F5CAE32E}"/>
            </a:ext>
          </a:extLst>
        </xdr:cNvPr>
        <xdr:cNvSpPr txBox="1"/>
      </xdr:nvSpPr>
      <xdr:spPr>
        <a:xfrm>
          <a:off x="6013898" y="6175780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21</xdr:col>
      <xdr:colOff>224813</xdr:colOff>
      <xdr:row>33</xdr:row>
      <xdr:rowOff>229956</xdr:rowOff>
    </xdr:from>
    <xdr:to>
      <xdr:col>30</xdr:col>
      <xdr:colOff>160152</xdr:colOff>
      <xdr:row>34</xdr:row>
      <xdr:rowOff>5142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DE45159B-4BB9-469D-91FF-FFE374AFF62C}"/>
            </a:ext>
          </a:extLst>
        </xdr:cNvPr>
        <xdr:cNvCxnSpPr/>
      </xdr:nvCxnSpPr>
      <xdr:spPr>
        <a:xfrm>
          <a:off x="5254013" y="6173556"/>
          <a:ext cx="1992739" cy="3786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14736</xdr:colOff>
      <xdr:row>31</xdr:row>
      <xdr:rowOff>153816</xdr:rowOff>
    </xdr:from>
    <xdr:to>
      <xdr:col>31</xdr:col>
      <xdr:colOff>145413</xdr:colOff>
      <xdr:row>31</xdr:row>
      <xdr:rowOff>153816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B03A16E6-7EA8-4E3F-BA9B-0BFB80BBF637}"/>
            </a:ext>
          </a:extLst>
        </xdr:cNvPr>
        <xdr:cNvCxnSpPr/>
      </xdr:nvCxnSpPr>
      <xdr:spPr>
        <a:xfrm rot="5400000">
          <a:off x="7115188" y="7123591"/>
          <a:ext cx="0" cy="361336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207706</xdr:colOff>
      <xdr:row>31</xdr:row>
      <xdr:rowOff>132080</xdr:rowOff>
    </xdr:from>
    <xdr:ext cx="335220" cy="22499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A2BD1DE1-64C1-42A3-A8FA-1897FD8AAEC0}"/>
            </a:ext>
          </a:extLst>
        </xdr:cNvPr>
        <xdr:cNvSpPr txBox="1"/>
      </xdr:nvSpPr>
      <xdr:spPr>
        <a:xfrm>
          <a:off x="7127490" y="7282523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31</xdr:col>
      <xdr:colOff>148292</xdr:colOff>
      <xdr:row>31</xdr:row>
      <xdr:rowOff>145370</xdr:rowOff>
    </xdr:from>
    <xdr:ext cx="249748" cy="224998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1527A6F-F6A2-4949-9754-0CFA161EBA47}"/>
            </a:ext>
          </a:extLst>
        </xdr:cNvPr>
        <xdr:cNvSpPr txBox="1"/>
      </xdr:nvSpPr>
      <xdr:spPr>
        <a:xfrm>
          <a:off x="7298735" y="7295813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22</xdr:col>
      <xdr:colOff>1739</xdr:colOff>
      <xdr:row>32</xdr:row>
      <xdr:rowOff>61697</xdr:rowOff>
    </xdr:from>
    <xdr:to>
      <xdr:col>22</xdr:col>
      <xdr:colOff>1739</xdr:colOff>
      <xdr:row>34</xdr:row>
      <xdr:rowOff>74685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62703DA8-7159-4880-9AD0-145B1065D14F}"/>
            </a:ext>
          </a:extLst>
        </xdr:cNvPr>
        <xdr:cNvCxnSpPr/>
      </xdr:nvCxnSpPr>
      <xdr:spPr>
        <a:xfrm>
          <a:off x="5259539" y="5776697"/>
          <a:ext cx="0" cy="47018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224812</xdr:colOff>
      <xdr:row>32</xdr:row>
      <xdr:rowOff>206057</xdr:rowOff>
    </xdr:from>
    <xdr:to>
      <xdr:col>29</xdr:col>
      <xdr:colOff>226337</xdr:colOff>
      <xdr:row>32</xdr:row>
      <xdr:rowOff>206057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5FB3B98B-2EC2-4A2F-B5CF-5D720C380037}"/>
            </a:ext>
          </a:extLst>
        </xdr:cNvPr>
        <xdr:cNvCxnSpPr/>
      </xdr:nvCxnSpPr>
      <xdr:spPr>
        <a:xfrm>
          <a:off x="5068661" y="7587160"/>
          <a:ext cx="18468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1364</xdr:colOff>
      <xdr:row>32</xdr:row>
      <xdr:rowOff>66647</xdr:rowOff>
    </xdr:from>
    <xdr:to>
      <xdr:col>30</xdr:col>
      <xdr:colOff>1364</xdr:colOff>
      <xdr:row>33</xdr:row>
      <xdr:rowOff>57367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23B9D4D-BC44-453C-AC74-E5CCE3DC2A4F}"/>
            </a:ext>
          </a:extLst>
        </xdr:cNvPr>
        <xdr:cNvCxnSpPr/>
      </xdr:nvCxnSpPr>
      <xdr:spPr>
        <a:xfrm>
          <a:off x="6921148" y="7447750"/>
          <a:ext cx="0" cy="22137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14285</xdr:colOff>
      <xdr:row>27</xdr:row>
      <xdr:rowOff>222864</xdr:rowOff>
    </xdr:from>
    <xdr:ext cx="559769" cy="224998"/>
    <xdr:sp macro="" textlink="$I$22">
      <xdr:nvSpPr>
        <xdr:cNvPr id="74" name="テキスト ボックス 73">
          <a:extLst>
            <a:ext uri="{FF2B5EF4-FFF2-40B4-BE49-F238E27FC236}">
              <a16:creationId xmlns:a16="http://schemas.microsoft.com/office/drawing/2014/main" id="{22FFEDB7-9EA3-4AFE-B475-1F7838891742}"/>
            </a:ext>
          </a:extLst>
        </xdr:cNvPr>
        <xdr:cNvSpPr txBox="1"/>
      </xdr:nvSpPr>
      <xdr:spPr>
        <a:xfrm>
          <a:off x="6934069" y="6450669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BAC5C32-1F15-425F-A950-A0C82080307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116.339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182713</xdr:colOff>
      <xdr:row>32</xdr:row>
      <xdr:rowOff>62991</xdr:rowOff>
    </xdr:from>
    <xdr:ext cx="502061" cy="224998"/>
    <xdr:sp macro="" textlink="$L$22">
      <xdr:nvSpPr>
        <xdr:cNvPr id="75" name="テキスト ボックス 74">
          <a:extLst>
            <a:ext uri="{FF2B5EF4-FFF2-40B4-BE49-F238E27FC236}">
              <a16:creationId xmlns:a16="http://schemas.microsoft.com/office/drawing/2014/main" id="{5E222BC7-E5B7-4357-9A6C-9BADB4B5EA47}"/>
            </a:ext>
          </a:extLst>
        </xdr:cNvPr>
        <xdr:cNvSpPr txBox="1"/>
      </xdr:nvSpPr>
      <xdr:spPr>
        <a:xfrm>
          <a:off x="7102497" y="7444094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CADACA-3AC7-45F6-9BB8-A77672F6B07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41.224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46546</xdr:colOff>
      <xdr:row>33</xdr:row>
      <xdr:rowOff>232180</xdr:rowOff>
    </xdr:from>
    <xdr:ext cx="444352" cy="224998"/>
    <xdr:sp macro="" textlink="$G$29">
      <xdr:nvSpPr>
        <xdr:cNvPr id="76" name="テキスト ボックス 75">
          <a:extLst>
            <a:ext uri="{FF2B5EF4-FFF2-40B4-BE49-F238E27FC236}">
              <a16:creationId xmlns:a16="http://schemas.microsoft.com/office/drawing/2014/main" id="{150A38A5-7B3B-426F-A007-FA0158283F51}"/>
            </a:ext>
          </a:extLst>
        </xdr:cNvPr>
        <xdr:cNvSpPr txBox="1"/>
      </xdr:nvSpPr>
      <xdr:spPr>
        <a:xfrm>
          <a:off x="6218746" y="61757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975BCD8-BDE4-46B0-851E-26F9FFDEF22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21</xdr:col>
      <xdr:colOff>212912</xdr:colOff>
      <xdr:row>29</xdr:row>
      <xdr:rowOff>232337</xdr:rowOff>
    </xdr:from>
    <xdr:to>
      <xdr:col>30</xdr:col>
      <xdr:colOff>179294</xdr:colOff>
      <xdr:row>31</xdr:row>
      <xdr:rowOff>169431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36AF9ADA-EB06-460A-B79D-4BD15FEAB0BF}"/>
            </a:ext>
          </a:extLst>
        </xdr:cNvPr>
        <xdr:cNvSpPr/>
      </xdr:nvSpPr>
      <xdr:spPr>
        <a:xfrm>
          <a:off x="5242112" y="5261537"/>
          <a:ext cx="2023782" cy="394294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22</xdr:col>
      <xdr:colOff>185173</xdr:colOff>
      <xdr:row>27</xdr:row>
      <xdr:rowOff>92007</xdr:rowOff>
    </xdr:from>
    <xdr:to>
      <xdr:col>23</xdr:col>
      <xdr:colOff>138603</xdr:colOff>
      <xdr:row>30</xdr:row>
      <xdr:rowOff>436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50CB579-D44D-4E23-9EFF-97B07E142296}"/>
            </a:ext>
          </a:extLst>
        </xdr:cNvPr>
        <xdr:cNvCxnSpPr/>
      </xdr:nvCxnSpPr>
      <xdr:spPr>
        <a:xfrm flipV="1">
          <a:off x="5442973" y="4664007"/>
          <a:ext cx="182030" cy="59422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28289</xdr:colOff>
      <xdr:row>27</xdr:row>
      <xdr:rowOff>92007</xdr:rowOff>
    </xdr:from>
    <xdr:to>
      <xdr:col>28</xdr:col>
      <xdr:colOff>206216</xdr:colOff>
      <xdr:row>30</xdr:row>
      <xdr:rowOff>436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5B6B0594-4A35-43ED-B422-88A017C86AEA}"/>
            </a:ext>
          </a:extLst>
        </xdr:cNvPr>
        <xdr:cNvCxnSpPr/>
      </xdr:nvCxnSpPr>
      <xdr:spPr>
        <a:xfrm flipV="1">
          <a:off x="6657689" y="4664007"/>
          <a:ext cx="177927" cy="59422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130572</xdr:colOff>
      <xdr:row>4</xdr:row>
      <xdr:rowOff>135194</xdr:rowOff>
    </xdr:from>
    <xdr:to>
      <xdr:col>29</xdr:col>
      <xdr:colOff>33049</xdr:colOff>
      <xdr:row>13</xdr:row>
      <xdr:rowOff>132775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3890EA8-7EBB-4A69-ABB9-9C20CA20CE7E}"/>
            </a:ext>
          </a:extLst>
        </xdr:cNvPr>
        <xdr:cNvCxnSpPr/>
      </xdr:nvCxnSpPr>
      <xdr:spPr>
        <a:xfrm flipH="1">
          <a:off x="22076172" y="1049594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144447</xdr:colOff>
      <xdr:row>14</xdr:row>
      <xdr:rowOff>12385</xdr:rowOff>
    </xdr:from>
    <xdr:to>
      <xdr:col>26</xdr:col>
      <xdr:colOff>164123</xdr:colOff>
      <xdr:row>15</xdr:row>
      <xdr:rowOff>156361</xdr:rowOff>
    </xdr:to>
    <xdr:sp macro="" textlink="">
      <xdr:nvSpPr>
        <xdr:cNvPr id="3" name="フローチャート: 手操作入力 2">
          <a:extLst>
            <a:ext uri="{FF2B5EF4-FFF2-40B4-BE49-F238E27FC236}">
              <a16:creationId xmlns:a16="http://schemas.microsoft.com/office/drawing/2014/main" id="{A6307423-52F1-4758-AA1D-D16FD7A89543}"/>
            </a:ext>
          </a:extLst>
        </xdr:cNvPr>
        <xdr:cNvSpPr/>
      </xdr:nvSpPr>
      <xdr:spPr>
        <a:xfrm flipV="1">
          <a:off x="21632847" y="3212785"/>
          <a:ext cx="476876" cy="372576"/>
        </a:xfrm>
        <a:prstGeom prst="flowChartManualInput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51419</xdr:colOff>
      <xdr:row>4</xdr:row>
      <xdr:rowOff>133940</xdr:rowOff>
    </xdr:from>
    <xdr:to>
      <xdr:col>29</xdr:col>
      <xdr:colOff>20330</xdr:colOff>
      <xdr:row>10</xdr:row>
      <xdr:rowOff>207681</xdr:rowOff>
    </xdr:to>
    <xdr:sp macro="" textlink="">
      <xdr:nvSpPr>
        <xdr:cNvPr id="4" name="直角三角形 3">
          <a:extLst>
            <a:ext uri="{FF2B5EF4-FFF2-40B4-BE49-F238E27FC236}">
              <a16:creationId xmlns:a16="http://schemas.microsoft.com/office/drawing/2014/main" id="{1F6A5477-D330-44D7-A979-151243E6C52F}"/>
            </a:ext>
          </a:extLst>
        </xdr:cNvPr>
        <xdr:cNvSpPr/>
      </xdr:nvSpPr>
      <xdr:spPr>
        <a:xfrm rot="11760000" flipH="1">
          <a:off x="22454219" y="1048340"/>
          <a:ext cx="197511" cy="1445341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21</xdr:col>
      <xdr:colOff>123991</xdr:colOff>
      <xdr:row>8</xdr:row>
      <xdr:rowOff>168813</xdr:rowOff>
    </xdr:from>
    <xdr:ext cx="224998" cy="361959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FADABC1-44A2-4C87-A6F5-61DC661A0EA8}"/>
            </a:ext>
          </a:extLst>
        </xdr:cNvPr>
        <xdr:cNvSpPr txBox="1"/>
      </xdr:nvSpPr>
      <xdr:spPr>
        <a:xfrm rot="16200000">
          <a:off x="20858110" y="2066094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149847</xdr:colOff>
      <xdr:row>2</xdr:row>
      <xdr:rowOff>220709</xdr:rowOff>
    </xdr:from>
    <xdr:ext cx="336311" cy="224998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C62E196-7F51-4427-B9B5-0DCA34B62548}"/>
            </a:ext>
          </a:extLst>
        </xdr:cNvPr>
        <xdr:cNvSpPr txBox="1"/>
      </xdr:nvSpPr>
      <xdr:spPr>
        <a:xfrm>
          <a:off x="22095447" y="677909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22</xdr:col>
      <xdr:colOff>21329</xdr:colOff>
      <xdr:row>4</xdr:row>
      <xdr:rowOff>134615</xdr:rowOff>
    </xdr:from>
    <xdr:to>
      <xdr:col>26</xdr:col>
      <xdr:colOff>199292</xdr:colOff>
      <xdr:row>4</xdr:row>
      <xdr:rowOff>134615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D3958A92-9460-47DB-AC89-6B4A1DEE74A9}"/>
            </a:ext>
          </a:extLst>
        </xdr:cNvPr>
        <xdr:cNvCxnSpPr/>
      </xdr:nvCxnSpPr>
      <xdr:spPr>
        <a:xfrm>
          <a:off x="21052529" y="1049015"/>
          <a:ext cx="109236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101743</xdr:colOff>
      <xdr:row>4</xdr:row>
      <xdr:rowOff>145007</xdr:rowOff>
    </xdr:from>
    <xdr:to>
      <xdr:col>22</xdr:col>
      <xdr:colOff>101743</xdr:colOff>
      <xdr:row>13</xdr:row>
      <xdr:rowOff>223917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F5C87F6E-9D07-4174-84DA-E01A57B95E5C}"/>
            </a:ext>
          </a:extLst>
        </xdr:cNvPr>
        <xdr:cNvCxnSpPr/>
      </xdr:nvCxnSpPr>
      <xdr:spPr>
        <a:xfrm>
          <a:off x="21132943" y="1059407"/>
          <a:ext cx="0" cy="213631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94409</xdr:colOff>
      <xdr:row>3</xdr:row>
      <xdr:rowOff>161606</xdr:rowOff>
    </xdr:from>
    <xdr:to>
      <xdr:col>27</xdr:col>
      <xdr:colOff>94409</xdr:colOff>
      <xdr:row>4</xdr:row>
      <xdr:rowOff>90717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1E962708-0477-4BFA-AE13-27D299092E11}"/>
            </a:ext>
          </a:extLst>
        </xdr:cNvPr>
        <xdr:cNvCxnSpPr/>
      </xdr:nvCxnSpPr>
      <xdr:spPr>
        <a:xfrm>
          <a:off x="22268609" y="847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46350</xdr:colOff>
      <xdr:row>14</xdr:row>
      <xdr:rowOff>5164</xdr:rowOff>
    </xdr:from>
    <xdr:to>
      <xdr:col>22</xdr:col>
      <xdr:colOff>203879</xdr:colOff>
      <xdr:row>14</xdr:row>
      <xdr:rowOff>5164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9466EF70-94C1-4996-8CB6-4CE87DDB4180}"/>
            </a:ext>
          </a:extLst>
        </xdr:cNvPr>
        <xdr:cNvCxnSpPr/>
      </xdr:nvCxnSpPr>
      <xdr:spPr>
        <a:xfrm>
          <a:off x="21077550" y="3205564"/>
          <a:ext cx="15752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23819</xdr:colOff>
      <xdr:row>3</xdr:row>
      <xdr:rowOff>161606</xdr:rowOff>
    </xdr:from>
    <xdr:to>
      <xdr:col>29</xdr:col>
      <xdr:colOff>23819</xdr:colOff>
      <xdr:row>4</xdr:row>
      <xdr:rowOff>90717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983E3903-6EBD-43A8-88FC-36C7ADA5A831}"/>
            </a:ext>
          </a:extLst>
        </xdr:cNvPr>
        <xdr:cNvCxnSpPr/>
      </xdr:nvCxnSpPr>
      <xdr:spPr>
        <a:xfrm>
          <a:off x="22655219" y="847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93923</xdr:colOff>
      <xdr:row>3</xdr:row>
      <xdr:rowOff>199001</xdr:rowOff>
    </xdr:from>
    <xdr:to>
      <xdr:col>29</xdr:col>
      <xdr:colOff>5862</xdr:colOff>
      <xdr:row>3</xdr:row>
      <xdr:rowOff>199001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700007B2-03C4-4666-8B39-2569691E05C1}"/>
            </a:ext>
          </a:extLst>
        </xdr:cNvPr>
        <xdr:cNvCxnSpPr/>
      </xdr:nvCxnSpPr>
      <xdr:spPr>
        <a:xfrm>
          <a:off x="22268123" y="884801"/>
          <a:ext cx="36913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91996</xdr:colOff>
      <xdr:row>17</xdr:row>
      <xdr:rowOff>49441</xdr:rowOff>
    </xdr:from>
    <xdr:ext cx="349135" cy="224998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48D89E1F-34A1-444D-A828-39C2E2483ABD}"/>
            </a:ext>
          </a:extLst>
        </xdr:cNvPr>
        <xdr:cNvSpPr txBox="1"/>
      </xdr:nvSpPr>
      <xdr:spPr>
        <a:xfrm>
          <a:off x="21580396" y="3935641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125376</xdr:colOff>
      <xdr:row>17</xdr:row>
      <xdr:rowOff>40576</xdr:rowOff>
    </xdr:from>
    <xdr:to>
      <xdr:col>26</xdr:col>
      <xdr:colOff>158262</xdr:colOff>
      <xdr:row>17</xdr:row>
      <xdr:rowOff>40576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D01C0529-4097-4712-8F3E-67CC71FEF8CA}"/>
            </a:ext>
          </a:extLst>
        </xdr:cNvPr>
        <xdr:cNvCxnSpPr/>
      </xdr:nvCxnSpPr>
      <xdr:spPr>
        <a:xfrm>
          <a:off x="21613776" y="3926776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127328</xdr:colOff>
      <xdr:row>16</xdr:row>
      <xdr:rowOff>1045</xdr:rowOff>
    </xdr:from>
    <xdr:to>
      <xdr:col>24</xdr:col>
      <xdr:colOff>127328</xdr:colOff>
      <xdr:row>17</xdr:row>
      <xdr:rowOff>86843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9BAC202F-62A1-4F3D-8256-067559AFFA07}"/>
            </a:ext>
          </a:extLst>
        </xdr:cNvPr>
        <xdr:cNvCxnSpPr/>
      </xdr:nvCxnSpPr>
      <xdr:spPr>
        <a:xfrm>
          <a:off x="21615728" y="3658645"/>
          <a:ext cx="0" cy="3143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145185</xdr:colOff>
      <xdr:row>14</xdr:row>
      <xdr:rowOff>7545</xdr:rowOff>
    </xdr:from>
    <xdr:to>
      <xdr:col>27</xdr:col>
      <xdr:colOff>90485</xdr:colOff>
      <xdr:row>14</xdr:row>
      <xdr:rowOff>7545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681F1349-F995-4FD4-88EE-E44A18E7A996}"/>
            </a:ext>
          </a:extLst>
        </xdr:cNvPr>
        <xdr:cNvCxnSpPr/>
      </xdr:nvCxnSpPr>
      <xdr:spPr>
        <a:xfrm>
          <a:off x="21633585" y="3207945"/>
          <a:ext cx="631100" cy="0"/>
        </a:xfrm>
        <a:prstGeom prst="line">
          <a:avLst/>
        </a:prstGeom>
        <a:ln w="12700">
          <a:solidFill>
            <a:schemeClr val="tx1"/>
          </a:solidFill>
          <a:prstDash val="solid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168868</xdr:colOff>
      <xdr:row>15</xdr:row>
      <xdr:rowOff>217386</xdr:rowOff>
    </xdr:from>
    <xdr:to>
      <xdr:col>26</xdr:col>
      <xdr:colOff>168868</xdr:colOff>
      <xdr:row>17</xdr:row>
      <xdr:rowOff>74584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30F8EDA9-7EFC-4169-ACB1-7D81F5B85E16}"/>
            </a:ext>
          </a:extLst>
        </xdr:cNvPr>
        <xdr:cNvCxnSpPr/>
      </xdr:nvCxnSpPr>
      <xdr:spPr>
        <a:xfrm>
          <a:off x="22114468" y="3646386"/>
          <a:ext cx="0" cy="3143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227216</xdr:colOff>
      <xdr:row>5</xdr:row>
      <xdr:rowOff>49098</xdr:rowOff>
    </xdr:from>
    <xdr:to>
      <xdr:col>33</xdr:col>
      <xdr:colOff>57276</xdr:colOff>
      <xdr:row>5</xdr:row>
      <xdr:rowOff>193821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EFBF0939-867A-4B45-B1F1-CA0AF24B7A05}"/>
            </a:ext>
          </a:extLst>
        </xdr:cNvPr>
        <xdr:cNvCxnSpPr/>
      </xdr:nvCxnSpPr>
      <xdr:spPr>
        <a:xfrm>
          <a:off x="23087216" y="1192098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54409</xdr:colOff>
      <xdr:row>5</xdr:row>
      <xdr:rowOff>170875</xdr:rowOff>
    </xdr:from>
    <xdr:to>
      <xdr:col>32</xdr:col>
      <xdr:colOff>214450</xdr:colOff>
      <xdr:row>15</xdr:row>
      <xdr:rowOff>26298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19BD27AA-C9E9-4C79-91E7-BC6B0B3392CE}"/>
            </a:ext>
          </a:extLst>
        </xdr:cNvPr>
        <xdr:cNvCxnSpPr/>
      </xdr:nvCxnSpPr>
      <xdr:spPr>
        <a:xfrm flipH="1">
          <a:off x="22914409" y="1313875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55749</xdr:colOff>
      <xdr:row>14</xdr:row>
      <xdr:rowOff>131159</xdr:rowOff>
    </xdr:from>
    <xdr:to>
      <xdr:col>30</xdr:col>
      <xdr:colOff>110832</xdr:colOff>
      <xdr:row>15</xdr:row>
      <xdr:rowOff>49453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8A3FF2C1-CBA8-4567-9AB8-CC10A77461F2}"/>
            </a:ext>
          </a:extLst>
        </xdr:cNvPr>
        <xdr:cNvCxnSpPr/>
      </xdr:nvCxnSpPr>
      <xdr:spPr>
        <a:xfrm>
          <a:off x="22458549" y="3331559"/>
          <a:ext cx="512283" cy="1468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101342</xdr:colOff>
      <xdr:row>10</xdr:row>
      <xdr:rowOff>11093</xdr:rowOff>
    </xdr:from>
    <xdr:ext cx="242374" cy="271228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A29BF32B-9229-4F1E-AD53-021E1795A199}"/>
            </a:ext>
          </a:extLst>
        </xdr:cNvPr>
        <xdr:cNvSpPr txBox="1"/>
      </xdr:nvSpPr>
      <xdr:spPr>
        <a:xfrm rot="17220000">
          <a:off x="23175515" y="2311520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30</xdr:col>
      <xdr:colOff>83760</xdr:colOff>
      <xdr:row>7</xdr:row>
      <xdr:rowOff>143812</xdr:rowOff>
    </xdr:from>
    <xdr:ext cx="242374" cy="582980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7D53A253-D515-4592-B40E-648BC280B39E}"/>
            </a:ext>
          </a:extLst>
        </xdr:cNvPr>
        <xdr:cNvSpPr txBox="1"/>
      </xdr:nvSpPr>
      <xdr:spPr>
        <a:xfrm rot="17233223">
          <a:off x="22773457" y="1914315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47212</xdr:colOff>
      <xdr:row>12</xdr:row>
      <xdr:rowOff>116871</xdr:rowOff>
    </xdr:from>
    <xdr:ext cx="242374" cy="305853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82D75CA5-D43A-48F9-A0D5-99743261EC48}"/>
            </a:ext>
          </a:extLst>
        </xdr:cNvPr>
        <xdr:cNvSpPr txBox="1"/>
      </xdr:nvSpPr>
      <xdr:spPr>
        <a:xfrm rot="17233223">
          <a:off x="22646872" y="2891811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205429</xdr:colOff>
      <xdr:row>11</xdr:row>
      <xdr:rowOff>118606</xdr:rowOff>
    </xdr:from>
    <xdr:to>
      <xdr:col>29</xdr:col>
      <xdr:colOff>190711</xdr:colOff>
      <xdr:row>14</xdr:row>
      <xdr:rowOff>174217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B830016C-265A-4114-BC16-D8AE270619CA}"/>
            </a:ext>
          </a:extLst>
        </xdr:cNvPr>
        <xdr:cNvCxnSpPr/>
      </xdr:nvCxnSpPr>
      <xdr:spPr>
        <a:xfrm flipH="1">
          <a:off x="22608229" y="2633206"/>
          <a:ext cx="213882" cy="74141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187845</xdr:colOff>
      <xdr:row>5</xdr:row>
      <xdr:rowOff>101852</xdr:rowOff>
    </xdr:from>
    <xdr:to>
      <xdr:col>31</xdr:col>
      <xdr:colOff>123011</xdr:colOff>
      <xdr:row>11</xdr:row>
      <xdr:rowOff>114223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CD0B8016-9E44-4F83-883D-C87A76DCE019}"/>
            </a:ext>
          </a:extLst>
        </xdr:cNvPr>
        <xdr:cNvCxnSpPr/>
      </xdr:nvCxnSpPr>
      <xdr:spPr>
        <a:xfrm flipH="1">
          <a:off x="22819245" y="1244852"/>
          <a:ext cx="392366" cy="138397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35756</xdr:colOff>
      <xdr:row>11</xdr:row>
      <xdr:rowOff>72544</xdr:rowOff>
    </xdr:from>
    <xdr:to>
      <xdr:col>30</xdr:col>
      <xdr:colOff>57276</xdr:colOff>
      <xdr:row>11</xdr:row>
      <xdr:rowOff>141067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FD594EE3-DD27-491A-9B83-F5F5582DDACC}"/>
            </a:ext>
          </a:extLst>
        </xdr:cNvPr>
        <xdr:cNvCxnSpPr/>
      </xdr:nvCxnSpPr>
      <xdr:spPr>
        <a:xfrm>
          <a:off x="22667156" y="2587144"/>
          <a:ext cx="250120" cy="685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63506</xdr:colOff>
      <xdr:row>6</xdr:row>
      <xdr:rowOff>41416</xdr:rowOff>
    </xdr:from>
    <xdr:to>
      <xdr:col>29</xdr:col>
      <xdr:colOff>152483</xdr:colOff>
      <xdr:row>7</xdr:row>
      <xdr:rowOff>116667</xdr:rowOff>
    </xdr:to>
    <xdr:sp macro="" textlink="">
      <xdr:nvSpPr>
        <xdr:cNvPr id="42" name="円弧 41">
          <a:extLst>
            <a:ext uri="{FF2B5EF4-FFF2-40B4-BE49-F238E27FC236}">
              <a16:creationId xmlns:a16="http://schemas.microsoft.com/office/drawing/2014/main" id="{AFEB56F6-6C2B-45C6-B5E5-296BE5E7D579}"/>
            </a:ext>
          </a:extLst>
        </xdr:cNvPr>
        <xdr:cNvSpPr/>
      </xdr:nvSpPr>
      <xdr:spPr>
        <a:xfrm rot="11917365">
          <a:off x="22466306" y="1413016"/>
          <a:ext cx="317577" cy="303851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29</xdr:col>
      <xdr:colOff>22559</xdr:colOff>
      <xdr:row>4</xdr:row>
      <xdr:rowOff>132710</xdr:rowOff>
    </xdr:from>
    <xdr:to>
      <xdr:col>29</xdr:col>
      <xdr:colOff>22559</xdr:colOff>
      <xdr:row>7</xdr:row>
      <xdr:rowOff>109998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22B72A1E-08FB-4D6B-BC0C-CF35EAA8904C}"/>
            </a:ext>
          </a:extLst>
        </xdr:cNvPr>
        <xdr:cNvCxnSpPr/>
      </xdr:nvCxnSpPr>
      <xdr:spPr>
        <a:xfrm>
          <a:off x="22653959" y="1047110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172110</xdr:colOff>
      <xdr:row>7</xdr:row>
      <xdr:rowOff>64394</xdr:rowOff>
    </xdr:from>
    <xdr:ext cx="365165" cy="242374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3D2F0648-2853-4F1C-A738-B5C5B8469DE3}"/>
            </a:ext>
          </a:extLst>
        </xdr:cNvPr>
        <xdr:cNvSpPr txBox="1"/>
      </xdr:nvSpPr>
      <xdr:spPr>
        <a:xfrm>
          <a:off x="22346310" y="1664594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139764</xdr:colOff>
      <xdr:row>7</xdr:row>
      <xdr:rowOff>74932</xdr:rowOff>
    </xdr:from>
    <xdr:ext cx="386644" cy="224998"/>
    <xdr:sp macro="" textlink="$Q$23">
      <xdr:nvSpPr>
        <xdr:cNvPr id="45" name="テキスト ボックス 44">
          <a:extLst>
            <a:ext uri="{FF2B5EF4-FFF2-40B4-BE49-F238E27FC236}">
              <a16:creationId xmlns:a16="http://schemas.microsoft.com/office/drawing/2014/main" id="{2130093B-5CCF-47FC-AC67-BC03B845ECC4}"/>
            </a:ext>
          </a:extLst>
        </xdr:cNvPr>
        <xdr:cNvSpPr txBox="1"/>
      </xdr:nvSpPr>
      <xdr:spPr>
        <a:xfrm>
          <a:off x="22542564" y="1675132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3E8A998-E210-4E9D-AC81-A01BF601D59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160190</xdr:colOff>
      <xdr:row>4</xdr:row>
      <xdr:rowOff>25649</xdr:rowOff>
    </xdr:from>
    <xdr:ext cx="263727" cy="224998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74851CA3-3EC7-4AC1-BB19-E95FA18CCC7A}"/>
            </a:ext>
          </a:extLst>
        </xdr:cNvPr>
        <xdr:cNvSpPr txBox="1"/>
      </xdr:nvSpPr>
      <xdr:spPr>
        <a:xfrm>
          <a:off x="22791590" y="940049"/>
          <a:ext cx="26372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102405</xdr:colOff>
      <xdr:row>6</xdr:row>
      <xdr:rowOff>62416</xdr:rowOff>
    </xdr:from>
    <xdr:ext cx="289375" cy="224998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22340888-8D98-4A74-8775-92B6CB88ACF1}"/>
            </a:ext>
          </a:extLst>
        </xdr:cNvPr>
        <xdr:cNvSpPr txBox="1"/>
      </xdr:nvSpPr>
      <xdr:spPr>
        <a:xfrm>
          <a:off x="22733805" y="1434016"/>
          <a:ext cx="28937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118539</xdr:colOff>
      <xdr:row>6</xdr:row>
      <xdr:rowOff>129659</xdr:rowOff>
    </xdr:from>
    <xdr:to>
      <xdr:col>29</xdr:col>
      <xdr:colOff>156244</xdr:colOff>
      <xdr:row>6</xdr:row>
      <xdr:rowOff>206020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A4BC9972-3C6B-4083-90B9-F7C0DBC96BC8}"/>
            </a:ext>
          </a:extLst>
        </xdr:cNvPr>
        <xdr:cNvCxnSpPr/>
      </xdr:nvCxnSpPr>
      <xdr:spPr>
        <a:xfrm flipH="1" flipV="1">
          <a:off x="22521339" y="1501259"/>
          <a:ext cx="266305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102231</xdr:colOff>
      <xdr:row>14</xdr:row>
      <xdr:rowOff>7943</xdr:rowOff>
    </xdr:from>
    <xdr:to>
      <xdr:col>25</xdr:col>
      <xdr:colOff>102231</xdr:colOff>
      <xdr:row>16</xdr:row>
      <xdr:rowOff>50708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1F56F6C1-F843-4672-9216-26D90EB01F76}"/>
            </a:ext>
          </a:extLst>
        </xdr:cNvPr>
        <xdr:cNvCxnSpPr/>
      </xdr:nvCxnSpPr>
      <xdr:spPr>
        <a:xfrm flipV="1">
          <a:off x="21819231" y="3208343"/>
          <a:ext cx="0" cy="499965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192976</xdr:colOff>
      <xdr:row>16</xdr:row>
      <xdr:rowOff>313</xdr:rowOff>
    </xdr:from>
    <xdr:ext cx="315023" cy="224998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9B37C493-B417-435B-9410-50A1BBFF5A0F}"/>
            </a:ext>
          </a:extLst>
        </xdr:cNvPr>
        <xdr:cNvSpPr txBox="1"/>
      </xdr:nvSpPr>
      <xdr:spPr>
        <a:xfrm>
          <a:off x="21681376" y="3657913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225464</xdr:colOff>
      <xdr:row>12</xdr:row>
      <xdr:rowOff>93611</xdr:rowOff>
    </xdr:from>
    <xdr:to>
      <xdr:col>26</xdr:col>
      <xdr:colOff>168368</xdr:colOff>
      <xdr:row>14</xdr:row>
      <xdr:rowOff>1097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E41ACA0B-04E9-47E6-87F2-9A276C4D79EA}"/>
            </a:ext>
          </a:extLst>
        </xdr:cNvPr>
        <xdr:cNvCxnSpPr/>
      </xdr:nvCxnSpPr>
      <xdr:spPr>
        <a:xfrm flipH="1">
          <a:off x="21942464" y="2836811"/>
          <a:ext cx="171504" cy="364686"/>
        </a:xfrm>
        <a:prstGeom prst="line">
          <a:avLst/>
        </a:prstGeom>
        <a:ln w="25400">
          <a:solidFill>
            <a:schemeClr val="tx1"/>
          </a:solidFill>
          <a:prstDash val="sysDash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136665</xdr:colOff>
      <xdr:row>11</xdr:row>
      <xdr:rowOff>199845</xdr:rowOff>
    </xdr:from>
    <xdr:ext cx="562846" cy="285527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166C186F-FF47-47A0-8CCA-14D29142DC5E}"/>
            </a:ext>
          </a:extLst>
        </xdr:cNvPr>
        <xdr:cNvSpPr txBox="1"/>
      </xdr:nvSpPr>
      <xdr:spPr>
        <a:xfrm>
          <a:off x="22082265" y="2714445"/>
          <a:ext cx="562846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合力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141659</xdr:colOff>
      <xdr:row>14</xdr:row>
      <xdr:rowOff>44408</xdr:rowOff>
    </xdr:from>
    <xdr:to>
      <xdr:col>27</xdr:col>
      <xdr:colOff>46037</xdr:colOff>
      <xdr:row>14</xdr:row>
      <xdr:rowOff>44409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1E7137F8-C4A7-43FF-B52B-F14F81667BF3}"/>
            </a:ext>
          </a:extLst>
        </xdr:cNvPr>
        <xdr:cNvCxnSpPr/>
      </xdr:nvCxnSpPr>
      <xdr:spPr>
        <a:xfrm>
          <a:off x="21858659" y="3244808"/>
          <a:ext cx="361578" cy="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143923</xdr:colOff>
      <xdr:row>14</xdr:row>
      <xdr:rowOff>7503</xdr:rowOff>
    </xdr:from>
    <xdr:ext cx="323615" cy="224998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2E1ABB3-8BE1-4E06-B547-B6B438123F44}"/>
            </a:ext>
          </a:extLst>
        </xdr:cNvPr>
        <xdr:cNvSpPr txBox="1"/>
      </xdr:nvSpPr>
      <xdr:spPr>
        <a:xfrm>
          <a:off x="21860923" y="3207903"/>
          <a:ext cx="32361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107744</xdr:colOff>
      <xdr:row>14</xdr:row>
      <xdr:rowOff>204580</xdr:rowOff>
    </xdr:from>
    <xdr:ext cx="315023" cy="224998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8E64EA44-D4C0-476C-9E68-FC3B0FD99D53}"/>
            </a:ext>
          </a:extLst>
        </xdr:cNvPr>
        <xdr:cNvSpPr txBox="1"/>
      </xdr:nvSpPr>
      <xdr:spPr>
        <a:xfrm>
          <a:off x="22053344" y="3404980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r>
            <a:rPr kumimoji="1" lang="en-US" altLang="ja-JP" sz="900" i="0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131500</xdr:colOff>
      <xdr:row>14</xdr:row>
      <xdr:rowOff>149197</xdr:rowOff>
    </xdr:from>
    <xdr:ext cx="315023" cy="224998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5F31BEDB-7E89-4C11-9DAF-84D460D1682E}"/>
            </a:ext>
          </a:extLst>
        </xdr:cNvPr>
        <xdr:cNvSpPr txBox="1"/>
      </xdr:nvSpPr>
      <xdr:spPr>
        <a:xfrm>
          <a:off x="21391300" y="3349597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r>
            <a:rPr kumimoji="1" lang="en-US" altLang="ja-JP" sz="900" i="0" baseline="-250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24</xdr:col>
      <xdr:colOff>112361</xdr:colOff>
      <xdr:row>13</xdr:row>
      <xdr:rowOff>205198</xdr:rowOff>
    </xdr:from>
    <xdr:to>
      <xdr:col>24</xdr:col>
      <xdr:colOff>164026</xdr:colOff>
      <xdr:row>14</xdr:row>
      <xdr:rowOff>32745</xdr:rowOff>
    </xdr:to>
    <xdr:sp macro="" textlink="">
      <xdr:nvSpPr>
        <xdr:cNvPr id="57" name="楕円 56">
          <a:extLst>
            <a:ext uri="{FF2B5EF4-FFF2-40B4-BE49-F238E27FC236}">
              <a16:creationId xmlns:a16="http://schemas.microsoft.com/office/drawing/2014/main" id="{67103B94-CED4-4D0B-8831-9ABFAFF5743F}"/>
            </a:ext>
          </a:extLst>
        </xdr:cNvPr>
        <xdr:cNvSpPr/>
      </xdr:nvSpPr>
      <xdr:spPr>
        <a:xfrm>
          <a:off x="21600761" y="3176998"/>
          <a:ext cx="51665" cy="5614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140179</xdr:colOff>
      <xdr:row>11</xdr:row>
      <xdr:rowOff>213218</xdr:rowOff>
    </xdr:from>
    <xdr:to>
      <xdr:col>24</xdr:col>
      <xdr:colOff>140179</xdr:colOff>
      <xdr:row>13</xdr:row>
      <xdr:rowOff>197307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870AE575-395F-455B-8AE5-37A7183074AE}"/>
            </a:ext>
          </a:extLst>
        </xdr:cNvPr>
        <xdr:cNvCxnSpPr/>
      </xdr:nvCxnSpPr>
      <xdr:spPr>
        <a:xfrm>
          <a:off x="21628579" y="2727818"/>
          <a:ext cx="0" cy="441289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34834</xdr:colOff>
      <xdr:row>11</xdr:row>
      <xdr:rowOff>11514</xdr:rowOff>
    </xdr:from>
    <xdr:ext cx="322396" cy="224998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0378BC9-0F4C-4E29-B22A-417792622435}"/>
            </a:ext>
          </a:extLst>
        </xdr:cNvPr>
        <xdr:cNvSpPr txBox="1"/>
      </xdr:nvSpPr>
      <xdr:spPr>
        <a:xfrm>
          <a:off x="21066034" y="2526114"/>
          <a:ext cx="32239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23</xdr:col>
      <xdr:colOff>23658</xdr:colOff>
      <xdr:row>14</xdr:row>
      <xdr:rowOff>12887</xdr:rowOff>
    </xdr:from>
    <xdr:to>
      <xdr:col>24</xdr:col>
      <xdr:colOff>103098</xdr:colOff>
      <xdr:row>14</xdr:row>
      <xdr:rowOff>12887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B8FDD629-041A-4604-A959-F2FD8DCF9A5F}"/>
            </a:ext>
          </a:extLst>
        </xdr:cNvPr>
        <xdr:cNvCxnSpPr/>
      </xdr:nvCxnSpPr>
      <xdr:spPr>
        <a:xfrm flipH="1">
          <a:off x="21283458" y="3213287"/>
          <a:ext cx="308040" cy="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21</xdr:col>
      <xdr:colOff>116321</xdr:colOff>
      <xdr:row>13</xdr:row>
      <xdr:rowOff>221242</xdr:rowOff>
    </xdr:from>
    <xdr:ext cx="335220" cy="224998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E0DAE3AF-0FED-4BC8-AC66-687DC8974BD1}"/>
            </a:ext>
          </a:extLst>
        </xdr:cNvPr>
        <xdr:cNvSpPr txBox="1"/>
      </xdr:nvSpPr>
      <xdr:spPr>
        <a:xfrm>
          <a:off x="20918921" y="3193042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23</xdr:col>
      <xdr:colOff>164787</xdr:colOff>
      <xdr:row>13</xdr:row>
      <xdr:rowOff>45864</xdr:rowOff>
    </xdr:from>
    <xdr:to>
      <xdr:col>25</xdr:col>
      <xdr:colOff>29647</xdr:colOff>
      <xdr:row>14</xdr:row>
      <xdr:rowOff>121114</xdr:rowOff>
    </xdr:to>
    <xdr:sp macro="" textlink="">
      <xdr:nvSpPr>
        <xdr:cNvPr id="62" name="円弧 61">
          <a:extLst>
            <a:ext uri="{FF2B5EF4-FFF2-40B4-BE49-F238E27FC236}">
              <a16:creationId xmlns:a16="http://schemas.microsoft.com/office/drawing/2014/main" id="{AD8B642F-BB3C-4685-AED0-5D884BDFD3F1}"/>
            </a:ext>
          </a:extLst>
        </xdr:cNvPr>
        <xdr:cNvSpPr/>
      </xdr:nvSpPr>
      <xdr:spPr>
        <a:xfrm>
          <a:off x="21424587" y="3017664"/>
          <a:ext cx="322060" cy="303850"/>
        </a:xfrm>
        <a:prstGeom prst="arc">
          <a:avLst>
            <a:gd name="adj1" fmla="val 12510240"/>
            <a:gd name="adj2" fmla="val 84120"/>
          </a:avLst>
        </a:prstGeom>
        <a:noFill/>
        <a:ln w="25400">
          <a:solidFill>
            <a:schemeClr val="tx1"/>
          </a:solidFill>
          <a:headEnd type="none" w="sm" len="sm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</xdr:col>
      <xdr:colOff>220252</xdr:colOff>
      <xdr:row>12</xdr:row>
      <xdr:rowOff>99183</xdr:rowOff>
    </xdr:from>
    <xdr:ext cx="319255" cy="224998"/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FA112BDE-29FC-40EC-96A8-DC874835EA6E}"/>
            </a:ext>
          </a:extLst>
        </xdr:cNvPr>
        <xdr:cNvSpPr txBox="1"/>
      </xdr:nvSpPr>
      <xdr:spPr>
        <a:xfrm>
          <a:off x="20794252" y="2842383"/>
          <a:ext cx="31925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128954</xdr:colOff>
      <xdr:row>8</xdr:row>
      <xdr:rowOff>76672</xdr:rowOff>
    </xdr:from>
    <xdr:to>
      <xdr:col>25</xdr:col>
      <xdr:colOff>211008</xdr:colOff>
      <xdr:row>8</xdr:row>
      <xdr:rowOff>76672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435B1F3D-11BE-4BF4-B13C-4D303FCD1F3A}"/>
            </a:ext>
          </a:extLst>
        </xdr:cNvPr>
        <xdr:cNvCxnSpPr/>
      </xdr:nvCxnSpPr>
      <xdr:spPr>
        <a:xfrm>
          <a:off x="21617354" y="1905472"/>
          <a:ext cx="31065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127329</xdr:colOff>
      <xdr:row>8</xdr:row>
      <xdr:rowOff>44777</xdr:rowOff>
    </xdr:from>
    <xdr:to>
      <xdr:col>24</xdr:col>
      <xdr:colOff>127329</xdr:colOff>
      <xdr:row>10</xdr:row>
      <xdr:rowOff>120423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199F0D5C-296C-4746-B2AA-C89B8C2B2850}"/>
            </a:ext>
          </a:extLst>
        </xdr:cNvPr>
        <xdr:cNvCxnSpPr/>
      </xdr:nvCxnSpPr>
      <xdr:spPr>
        <a:xfrm>
          <a:off x="21615729" y="1873577"/>
          <a:ext cx="0" cy="53284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216210</xdr:colOff>
      <xdr:row>8</xdr:row>
      <xdr:rowOff>46879</xdr:rowOff>
    </xdr:from>
    <xdr:to>
      <xdr:col>25</xdr:col>
      <xdr:colOff>216210</xdr:colOff>
      <xdr:row>13</xdr:row>
      <xdr:rowOff>52741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A44F944C-EAF2-4589-B984-CA067B801DAB}"/>
            </a:ext>
          </a:extLst>
        </xdr:cNvPr>
        <xdr:cNvCxnSpPr/>
      </xdr:nvCxnSpPr>
      <xdr:spPr>
        <a:xfrm>
          <a:off x="21933210" y="1875679"/>
          <a:ext cx="0" cy="114886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23</xdr:col>
      <xdr:colOff>124254</xdr:colOff>
      <xdr:row>7</xdr:row>
      <xdr:rowOff>83210</xdr:rowOff>
    </xdr:from>
    <xdr:ext cx="336311" cy="224998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957C7433-9745-417D-92FB-AC85CCF385D7}"/>
            </a:ext>
          </a:extLst>
        </xdr:cNvPr>
        <xdr:cNvSpPr txBox="1"/>
      </xdr:nvSpPr>
      <xdr:spPr>
        <a:xfrm>
          <a:off x="21384054" y="1683410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d </a:t>
          </a:r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 i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101307</xdr:colOff>
      <xdr:row>9</xdr:row>
      <xdr:rowOff>70326</xdr:rowOff>
    </xdr:from>
    <xdr:to>
      <xdr:col>25</xdr:col>
      <xdr:colOff>101307</xdr:colOff>
      <xdr:row>13</xdr:row>
      <xdr:rowOff>158249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ABDF6C35-0CD0-4459-BFA2-17174D56AC52}"/>
            </a:ext>
          </a:extLst>
        </xdr:cNvPr>
        <xdr:cNvCxnSpPr/>
      </xdr:nvCxnSpPr>
      <xdr:spPr>
        <a:xfrm>
          <a:off x="21818307" y="2127726"/>
          <a:ext cx="0" cy="100232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125376</xdr:colOff>
      <xdr:row>9</xdr:row>
      <xdr:rowOff>148389</xdr:rowOff>
    </xdr:from>
    <xdr:to>
      <xdr:col>25</xdr:col>
      <xdr:colOff>99646</xdr:colOff>
      <xdr:row>9</xdr:row>
      <xdr:rowOff>148389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B0CD168B-0ED4-40A8-AAD2-FCA893B88924}"/>
            </a:ext>
          </a:extLst>
        </xdr:cNvPr>
        <xdr:cNvCxnSpPr/>
      </xdr:nvCxnSpPr>
      <xdr:spPr>
        <a:xfrm>
          <a:off x="21613776" y="2205789"/>
          <a:ext cx="20287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23</xdr:col>
      <xdr:colOff>118218</xdr:colOff>
      <xdr:row>8</xdr:row>
      <xdr:rowOff>89069</xdr:rowOff>
    </xdr:from>
    <xdr:ext cx="638573" cy="285527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27BBCEFC-47CE-42D6-9F95-D2F6091FD3DA}"/>
            </a:ext>
          </a:extLst>
        </xdr:cNvPr>
        <xdr:cNvSpPr txBox="1"/>
      </xdr:nvSpPr>
      <xdr:spPr>
        <a:xfrm>
          <a:off x="21378018" y="1917869"/>
          <a:ext cx="63857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=κ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ja-JP" altLang="en-US" sz="900" i="1">
              <a:latin typeface="Times New Roman" panose="02020603050405020304" pitchFamily="18" charset="0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201700</xdr:colOff>
      <xdr:row>11</xdr:row>
      <xdr:rowOff>10789</xdr:rowOff>
    </xdr:from>
    <xdr:ext cx="249748" cy="224998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8397813-3EB1-46CF-907E-28DB39A51330}"/>
            </a:ext>
          </a:extLst>
        </xdr:cNvPr>
        <xdr:cNvSpPr txBox="1"/>
      </xdr:nvSpPr>
      <xdr:spPr>
        <a:xfrm>
          <a:off x="21232900" y="2525389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81718</xdr:colOff>
      <xdr:row>13</xdr:row>
      <xdr:rowOff>212495</xdr:rowOff>
    </xdr:from>
    <xdr:ext cx="249748" cy="224998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8A26F1AD-390D-4316-870A-76CCD93E5A17}"/>
            </a:ext>
          </a:extLst>
        </xdr:cNvPr>
        <xdr:cNvSpPr txBox="1"/>
      </xdr:nvSpPr>
      <xdr:spPr>
        <a:xfrm>
          <a:off x="21112918" y="3184295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161365</xdr:colOff>
      <xdr:row>12</xdr:row>
      <xdr:rowOff>118365</xdr:rowOff>
    </xdr:from>
    <xdr:ext cx="249748" cy="224998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AB31DB77-5630-4AAE-969A-9B00943B4799}"/>
            </a:ext>
          </a:extLst>
        </xdr:cNvPr>
        <xdr:cNvSpPr txBox="1"/>
      </xdr:nvSpPr>
      <xdr:spPr>
        <a:xfrm>
          <a:off x="20963965" y="2861565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128913</xdr:colOff>
      <xdr:row>2</xdr:row>
      <xdr:rowOff>220709</xdr:rowOff>
    </xdr:from>
    <xdr:ext cx="444352" cy="224998"/>
    <xdr:sp macro="" textlink="'1.設計条件'!T7">
      <xdr:nvSpPr>
        <xdr:cNvPr id="77" name="テキスト ボックス 76">
          <a:extLst>
            <a:ext uri="{FF2B5EF4-FFF2-40B4-BE49-F238E27FC236}">
              <a16:creationId xmlns:a16="http://schemas.microsoft.com/office/drawing/2014/main" id="{155DABC9-5AFD-4A7D-BCFE-451243F51F7F}"/>
            </a:ext>
          </a:extLst>
        </xdr:cNvPr>
        <xdr:cNvSpPr txBox="1"/>
      </xdr:nvSpPr>
      <xdr:spPr>
        <a:xfrm>
          <a:off x="22303113" y="67790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115023</xdr:colOff>
      <xdr:row>7</xdr:row>
      <xdr:rowOff>121853</xdr:rowOff>
    </xdr:from>
    <xdr:ext cx="224998" cy="444352"/>
    <xdr:sp macro="" textlink="'1.設計条件'!T5">
      <xdr:nvSpPr>
        <xdr:cNvPr id="78" name="テキスト ボックス 77">
          <a:extLst>
            <a:ext uri="{FF2B5EF4-FFF2-40B4-BE49-F238E27FC236}">
              <a16:creationId xmlns:a16="http://schemas.microsoft.com/office/drawing/2014/main" id="{A8C6DA3E-A189-492C-B8FD-F16B5F22B33C}"/>
            </a:ext>
          </a:extLst>
        </xdr:cNvPr>
        <xdr:cNvSpPr txBox="1"/>
      </xdr:nvSpPr>
      <xdr:spPr>
        <a:xfrm rot="16200000">
          <a:off x="20807946" y="183173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1211461-6664-4F5C-9342-8CFF28976A0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24</xdr:col>
      <xdr:colOff>75292</xdr:colOff>
      <xdr:row>7</xdr:row>
      <xdr:rowOff>80107</xdr:rowOff>
    </xdr:from>
    <xdr:ext cx="444352" cy="224998"/>
    <xdr:sp macro="" textlink="$AO$2">
      <xdr:nvSpPr>
        <xdr:cNvPr id="79" name="テキスト ボックス 78">
          <a:extLst>
            <a:ext uri="{FF2B5EF4-FFF2-40B4-BE49-F238E27FC236}">
              <a16:creationId xmlns:a16="http://schemas.microsoft.com/office/drawing/2014/main" id="{340B1E18-B3EC-44B3-8456-FB73CA16A76D}"/>
            </a:ext>
          </a:extLst>
        </xdr:cNvPr>
        <xdr:cNvSpPr txBox="1"/>
      </xdr:nvSpPr>
      <xdr:spPr>
        <a:xfrm>
          <a:off x="5561692" y="168030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CB2AA41-1D01-4FFB-9BE5-29941BE2304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1.190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54815</xdr:colOff>
      <xdr:row>11</xdr:row>
      <xdr:rowOff>10788</xdr:rowOff>
    </xdr:from>
    <xdr:ext cx="559769" cy="224998"/>
    <xdr:sp macro="" textlink="'3.照査'!I22">
      <xdr:nvSpPr>
        <xdr:cNvPr id="80" name="テキスト ボックス 79">
          <a:extLst>
            <a:ext uri="{FF2B5EF4-FFF2-40B4-BE49-F238E27FC236}">
              <a16:creationId xmlns:a16="http://schemas.microsoft.com/office/drawing/2014/main" id="{9AD79D01-940D-4C74-A8B7-95D919D15C2A}"/>
            </a:ext>
          </a:extLst>
        </xdr:cNvPr>
        <xdr:cNvSpPr txBox="1"/>
      </xdr:nvSpPr>
      <xdr:spPr>
        <a:xfrm>
          <a:off x="5312615" y="2525388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97785F4-0880-4472-A473-478C6B0175A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116.339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125507</xdr:colOff>
      <xdr:row>12</xdr:row>
      <xdr:rowOff>109400</xdr:rowOff>
    </xdr:from>
    <xdr:ext cx="559769" cy="224998"/>
    <xdr:sp macro="" textlink="$W$19">
      <xdr:nvSpPr>
        <xdr:cNvPr id="81" name="テキスト ボックス 80">
          <a:extLst>
            <a:ext uri="{FF2B5EF4-FFF2-40B4-BE49-F238E27FC236}">
              <a16:creationId xmlns:a16="http://schemas.microsoft.com/office/drawing/2014/main" id="{0D775AF6-ECD9-45F3-92CE-4A8221E838E7}"/>
            </a:ext>
          </a:extLst>
        </xdr:cNvPr>
        <xdr:cNvSpPr txBox="1"/>
      </xdr:nvSpPr>
      <xdr:spPr>
        <a:xfrm>
          <a:off x="21156707" y="2852600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49A3178-7A38-4F1D-A797-04FF7926668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138.465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198259</xdr:colOff>
      <xdr:row>13</xdr:row>
      <xdr:rowOff>221460</xdr:rowOff>
    </xdr:from>
    <xdr:ext cx="502061" cy="224998"/>
    <xdr:sp macro="" textlink="'3.照査'!L22">
      <xdr:nvSpPr>
        <xdr:cNvPr id="82" name="テキスト ボックス 81">
          <a:extLst>
            <a:ext uri="{FF2B5EF4-FFF2-40B4-BE49-F238E27FC236}">
              <a16:creationId xmlns:a16="http://schemas.microsoft.com/office/drawing/2014/main" id="{C52944C7-41E1-4122-A18F-1047AD559FBD}"/>
            </a:ext>
          </a:extLst>
        </xdr:cNvPr>
        <xdr:cNvSpPr txBox="1"/>
      </xdr:nvSpPr>
      <xdr:spPr>
        <a:xfrm>
          <a:off x="5300346" y="3236330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EE7C0EB-7CC3-4A49-8EDE-0413A47D50E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41.224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65447</xdr:colOff>
      <xdr:row>17</xdr:row>
      <xdr:rowOff>40816</xdr:rowOff>
    </xdr:from>
    <xdr:ext cx="444352" cy="224998"/>
    <xdr:sp macro="" textlink="'1.設計条件'!T9">
      <xdr:nvSpPr>
        <xdr:cNvPr id="83" name="テキスト ボックス 82">
          <a:extLst>
            <a:ext uri="{FF2B5EF4-FFF2-40B4-BE49-F238E27FC236}">
              <a16:creationId xmlns:a16="http://schemas.microsoft.com/office/drawing/2014/main" id="{F027B274-44C1-40BD-B23B-9CD170C47A85}"/>
            </a:ext>
          </a:extLst>
        </xdr:cNvPr>
        <xdr:cNvSpPr txBox="1"/>
      </xdr:nvSpPr>
      <xdr:spPr>
        <a:xfrm>
          <a:off x="5863273" y="398333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1F97F66-4F42-442B-91E6-9471D3F25AB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99127</xdr:colOff>
      <xdr:row>4</xdr:row>
      <xdr:rowOff>133935</xdr:rowOff>
    </xdr:from>
    <xdr:to>
      <xdr:col>29</xdr:col>
      <xdr:colOff>33572</xdr:colOff>
      <xdr:row>4</xdr:row>
      <xdr:rowOff>133935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A178E30E-8F9D-4A3F-9E3E-304AA2733547}"/>
            </a:ext>
          </a:extLst>
        </xdr:cNvPr>
        <xdr:cNvCxnSpPr/>
      </xdr:nvCxnSpPr>
      <xdr:spPr>
        <a:xfrm>
          <a:off x="22273327" y="1048335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194634</xdr:colOff>
      <xdr:row>4</xdr:row>
      <xdr:rowOff>130431</xdr:rowOff>
    </xdr:from>
    <xdr:to>
      <xdr:col>27</xdr:col>
      <xdr:colOff>98360</xdr:colOff>
      <xdr:row>13</xdr:row>
      <xdr:rowOff>132366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78E17EE8-9CB4-42EE-8392-107002C50BA7}"/>
            </a:ext>
          </a:extLst>
        </xdr:cNvPr>
        <xdr:cNvCxnSpPr/>
      </xdr:nvCxnSpPr>
      <xdr:spPr>
        <a:xfrm flipH="1">
          <a:off x="21683034" y="1044831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152486</xdr:colOff>
      <xdr:row>13</xdr:row>
      <xdr:rowOff>136720</xdr:rowOff>
    </xdr:from>
    <xdr:to>
      <xdr:col>26</xdr:col>
      <xdr:colOff>158932</xdr:colOff>
      <xdr:row>14</xdr:row>
      <xdr:rowOff>16120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F94B98F-1AE6-4606-A965-60FC3DA499D7}"/>
            </a:ext>
          </a:extLst>
        </xdr:cNvPr>
        <xdr:cNvSpPr/>
      </xdr:nvSpPr>
      <xdr:spPr>
        <a:xfrm>
          <a:off x="21640886" y="3108520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26</xdr:col>
      <xdr:colOff>38723</xdr:colOff>
      <xdr:row>5</xdr:row>
      <xdr:rowOff>28808</xdr:rowOff>
    </xdr:from>
    <xdr:to>
      <xdr:col>28</xdr:col>
      <xdr:colOff>136862</xdr:colOff>
      <xdr:row>13</xdr:row>
      <xdr:rowOff>132775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B3DDE913-EE0F-48BC-B3C6-127B9BECFC5F}"/>
            </a:ext>
          </a:extLst>
        </xdr:cNvPr>
        <xdr:cNvCxnSpPr/>
      </xdr:nvCxnSpPr>
      <xdr:spPr>
        <a:xfrm flipH="1">
          <a:off x="21984323" y="1171808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68645</xdr:colOff>
      <xdr:row>12</xdr:row>
      <xdr:rowOff>9838</xdr:rowOff>
    </xdr:from>
    <xdr:to>
      <xdr:col>26</xdr:col>
      <xdr:colOff>143779</xdr:colOff>
      <xdr:row>12</xdr:row>
      <xdr:rowOff>9838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5F1B1CB-5EAB-40AD-A99D-2B3E88DD4270}"/>
            </a:ext>
          </a:extLst>
        </xdr:cNvPr>
        <xdr:cNvCxnSpPr/>
      </xdr:nvCxnSpPr>
      <xdr:spPr>
        <a:xfrm>
          <a:off x="21785645" y="2753038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168794</xdr:colOff>
      <xdr:row>10</xdr:row>
      <xdr:rowOff>125226</xdr:rowOff>
    </xdr:from>
    <xdr:to>
      <xdr:col>27</xdr:col>
      <xdr:colOff>13151</xdr:colOff>
      <xdr:row>10</xdr:row>
      <xdr:rowOff>125226</xdr:rowOff>
    </xdr:to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8C7131F7-17A3-442E-BFEC-F5E3DF99A9D3}"/>
            </a:ext>
          </a:extLst>
        </xdr:cNvPr>
        <xdr:cNvCxnSpPr/>
      </xdr:nvCxnSpPr>
      <xdr:spPr>
        <a:xfrm>
          <a:off x="21885794" y="2411226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33811</xdr:colOff>
      <xdr:row>9</xdr:row>
      <xdr:rowOff>5484</xdr:rowOff>
    </xdr:from>
    <xdr:to>
      <xdr:col>27</xdr:col>
      <xdr:colOff>108945</xdr:colOff>
      <xdr:row>9</xdr:row>
      <xdr:rowOff>5484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F8033528-637B-4B64-B0A0-45AC6E0A42D3}"/>
            </a:ext>
          </a:extLst>
        </xdr:cNvPr>
        <xdr:cNvCxnSpPr/>
      </xdr:nvCxnSpPr>
      <xdr:spPr>
        <a:xfrm>
          <a:off x="21979411" y="2062884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138314</xdr:colOff>
      <xdr:row>7</xdr:row>
      <xdr:rowOff>109986</xdr:rowOff>
    </xdr:from>
    <xdr:to>
      <xdr:col>27</xdr:col>
      <xdr:colOff>219798</xdr:colOff>
      <xdr:row>7</xdr:row>
      <xdr:rowOff>109986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780EC3BA-D3D1-475B-B6D2-A973A8066319}"/>
            </a:ext>
          </a:extLst>
        </xdr:cNvPr>
        <xdr:cNvCxnSpPr/>
      </xdr:nvCxnSpPr>
      <xdr:spPr>
        <a:xfrm>
          <a:off x="22083914" y="1710186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16394</xdr:colOff>
      <xdr:row>5</xdr:row>
      <xdr:rowOff>221020</xdr:rowOff>
    </xdr:from>
    <xdr:to>
      <xdr:col>28</xdr:col>
      <xdr:colOff>91528</xdr:colOff>
      <xdr:row>5</xdr:row>
      <xdr:rowOff>221020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CEB7AC35-7520-41B4-B82E-88310C3921B4}"/>
            </a:ext>
          </a:extLst>
        </xdr:cNvPr>
        <xdr:cNvCxnSpPr/>
      </xdr:nvCxnSpPr>
      <xdr:spPr>
        <a:xfrm>
          <a:off x="22190594" y="1364020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55174</xdr:colOff>
      <xdr:row>5</xdr:row>
      <xdr:rowOff>23309</xdr:rowOff>
    </xdr:from>
    <xdr:to>
      <xdr:col>29</xdr:col>
      <xdr:colOff>6075</xdr:colOff>
      <xdr:row>5</xdr:row>
      <xdr:rowOff>23309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6909FE5E-51C9-47E1-BDE3-55ED4070AA6E}"/>
            </a:ext>
          </a:extLst>
        </xdr:cNvPr>
        <xdr:cNvCxnSpPr/>
      </xdr:nvCxnSpPr>
      <xdr:spPr>
        <a:xfrm>
          <a:off x="22229374" y="1166309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95368</xdr:colOff>
      <xdr:row>15</xdr:row>
      <xdr:rowOff>198527</xdr:rowOff>
    </xdr:from>
    <xdr:to>
      <xdr:col>26</xdr:col>
      <xdr:colOff>219310</xdr:colOff>
      <xdr:row>20</xdr:row>
      <xdr:rowOff>88790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4988A753-7DAC-45A0-B274-EB0390FE8CDB}"/>
            </a:ext>
          </a:extLst>
        </xdr:cNvPr>
        <xdr:cNvSpPr/>
      </xdr:nvSpPr>
      <xdr:spPr>
        <a:xfrm rot="6373851">
          <a:off x="5584307" y="4097428"/>
          <a:ext cx="1033263" cy="123942"/>
        </a:xfrm>
        <a:prstGeom prst="triangle">
          <a:avLst>
            <a:gd name="adj" fmla="val 96246"/>
          </a:avLst>
        </a:prstGeom>
        <a:solidFill>
          <a:srgbClr val="FFCCFF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71605</xdr:colOff>
      <xdr:row>15</xdr:row>
      <xdr:rowOff>201169</xdr:rowOff>
    </xdr:from>
    <xdr:to>
      <xdr:col>32</xdr:col>
      <xdr:colOff>209235</xdr:colOff>
      <xdr:row>25</xdr:row>
      <xdr:rowOff>56590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DD21D67-A9DE-44B9-ADD4-00604F2E1665}"/>
            </a:ext>
          </a:extLst>
        </xdr:cNvPr>
        <xdr:cNvCxnSpPr/>
      </xdr:nvCxnSpPr>
      <xdr:spPr>
        <a:xfrm flipV="1">
          <a:off x="5558005" y="3645409"/>
          <a:ext cx="1966430" cy="2141421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130178</xdr:colOff>
      <xdr:row>17</xdr:row>
      <xdr:rowOff>74063</xdr:rowOff>
    </xdr:from>
    <xdr:ext cx="324576" cy="224998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20C238F-6260-41C2-B3E9-7222C033B73D}"/>
            </a:ext>
          </a:extLst>
        </xdr:cNvPr>
        <xdr:cNvSpPr txBox="1"/>
      </xdr:nvSpPr>
      <xdr:spPr>
        <a:xfrm>
          <a:off x="5616578" y="3975503"/>
          <a:ext cx="32457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140486</xdr:colOff>
      <xdr:row>14</xdr:row>
      <xdr:rowOff>70784</xdr:rowOff>
    </xdr:from>
    <xdr:ext cx="349135" cy="2249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1918F8C-3C2A-4792-9B1D-72C1D27E639D}"/>
            </a:ext>
          </a:extLst>
        </xdr:cNvPr>
        <xdr:cNvSpPr txBox="1"/>
      </xdr:nvSpPr>
      <xdr:spPr>
        <a:xfrm>
          <a:off x="6769886" y="328642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138054</xdr:colOff>
      <xdr:row>20</xdr:row>
      <xdr:rowOff>131481</xdr:rowOff>
    </xdr:from>
    <xdr:ext cx="386644" cy="224998"/>
    <xdr:sp macro="" textlink="'2.土圧'!O30">
      <xdr:nvSpPr>
        <xdr:cNvPr id="6" name="テキスト ボックス 5">
          <a:extLst>
            <a:ext uri="{FF2B5EF4-FFF2-40B4-BE49-F238E27FC236}">
              <a16:creationId xmlns:a16="http://schemas.microsoft.com/office/drawing/2014/main" id="{FF286F22-EDA9-415E-9B5B-16F46AB31EC0}"/>
            </a:ext>
          </a:extLst>
        </xdr:cNvPr>
        <xdr:cNvSpPr txBox="1"/>
      </xdr:nvSpPr>
      <xdr:spPr>
        <a:xfrm>
          <a:off x="5412870" y="4733073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33B1154-64DB-4569-981A-4FCF50A259F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23.3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156922</xdr:colOff>
      <xdr:row>21</xdr:row>
      <xdr:rowOff>137387</xdr:rowOff>
    </xdr:from>
    <xdr:ext cx="249748" cy="2249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B219373-57E3-452D-BB60-D35A5EDE518E}"/>
            </a:ext>
          </a:extLst>
        </xdr:cNvPr>
        <xdr:cNvSpPr txBox="1"/>
      </xdr:nvSpPr>
      <xdr:spPr>
        <a:xfrm>
          <a:off x="5414722" y="495322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198030</xdr:colOff>
      <xdr:row>17</xdr:row>
      <xdr:rowOff>63640</xdr:rowOff>
    </xdr:from>
    <xdr:ext cx="425053" cy="224998"/>
    <xdr:sp macro="" textlink="'2.土圧'!Q28">
      <xdr:nvSpPr>
        <xdr:cNvPr id="8" name="テキスト ボックス 7">
          <a:extLst>
            <a:ext uri="{FF2B5EF4-FFF2-40B4-BE49-F238E27FC236}">
              <a16:creationId xmlns:a16="http://schemas.microsoft.com/office/drawing/2014/main" id="{AADC5EC0-5F65-4481-880F-3587015F74AF}"/>
            </a:ext>
          </a:extLst>
        </xdr:cNvPr>
        <xdr:cNvSpPr txBox="1"/>
      </xdr:nvSpPr>
      <xdr:spPr>
        <a:xfrm>
          <a:off x="6160865" y="3977213"/>
          <a:ext cx="42505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F99325-BF07-4BA7-AFAB-708BD6D0B33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-21.8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114595</xdr:colOff>
      <xdr:row>14</xdr:row>
      <xdr:rowOff>72999</xdr:rowOff>
    </xdr:from>
    <xdr:ext cx="300082" cy="224998"/>
    <xdr:sp macro="" textlink="'1.設計条件'!T36">
      <xdr:nvSpPr>
        <xdr:cNvPr id="9" name="テキスト ボックス 8">
          <a:extLst>
            <a:ext uri="{FF2B5EF4-FFF2-40B4-BE49-F238E27FC236}">
              <a16:creationId xmlns:a16="http://schemas.microsoft.com/office/drawing/2014/main" id="{F48A7667-F066-44B9-AAC9-C60F0238B3D9}"/>
            </a:ext>
          </a:extLst>
        </xdr:cNvPr>
        <xdr:cNvSpPr txBox="1"/>
      </xdr:nvSpPr>
      <xdr:spPr>
        <a:xfrm>
          <a:off x="6972595" y="3286099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621461F-1C90-4981-AE39-5CDE20866CF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99886</xdr:colOff>
      <xdr:row>16</xdr:row>
      <xdr:rowOff>95277</xdr:rowOff>
    </xdr:from>
    <xdr:ext cx="559769" cy="224998"/>
    <xdr:sp macro="" textlink="'2.土圧'!CV9">
      <xdr:nvSpPr>
        <xdr:cNvPr id="10" name="テキスト ボックス 9">
          <a:extLst>
            <a:ext uri="{FF2B5EF4-FFF2-40B4-BE49-F238E27FC236}">
              <a16:creationId xmlns:a16="http://schemas.microsoft.com/office/drawing/2014/main" id="{A9198A88-78C8-45AC-BB27-0560ACD37710}"/>
            </a:ext>
          </a:extLst>
        </xdr:cNvPr>
        <xdr:cNvSpPr txBox="1"/>
      </xdr:nvSpPr>
      <xdr:spPr>
        <a:xfrm>
          <a:off x="6729286" y="3765577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B83ECA3-0A67-4332-9B42-D9960A52CB44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154.954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143751</xdr:colOff>
      <xdr:row>13</xdr:row>
      <xdr:rowOff>25599</xdr:rowOff>
    </xdr:from>
    <xdr:ext cx="444352" cy="224998"/>
    <xdr:sp macro="" textlink="'2.土圧'!CV7">
      <xdr:nvSpPr>
        <xdr:cNvPr id="11" name="テキスト ボックス 10">
          <a:extLst>
            <a:ext uri="{FF2B5EF4-FFF2-40B4-BE49-F238E27FC236}">
              <a16:creationId xmlns:a16="http://schemas.microsoft.com/office/drawing/2014/main" id="{E37743D4-2145-492A-BA13-692558C4AEC5}"/>
            </a:ext>
          </a:extLst>
        </xdr:cNvPr>
        <xdr:cNvSpPr txBox="1"/>
      </xdr:nvSpPr>
      <xdr:spPr>
        <a:xfrm>
          <a:off x="6794605" y="302181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425795-D508-4FA9-91FE-036B8E649C7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2.679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3994</xdr:colOff>
      <xdr:row>23</xdr:row>
      <xdr:rowOff>225292</xdr:rowOff>
    </xdr:from>
    <xdr:ext cx="325730" cy="254493"/>
    <xdr:sp macro="" textlink="'2.土圧'!CV5">
      <xdr:nvSpPr>
        <xdr:cNvPr id="12" name="テキスト ボックス 11">
          <a:extLst>
            <a:ext uri="{FF2B5EF4-FFF2-40B4-BE49-F238E27FC236}">
              <a16:creationId xmlns:a16="http://schemas.microsoft.com/office/drawing/2014/main" id="{D6DD6F21-0A71-4A2A-95AD-A5F5E62AC1EB}"/>
            </a:ext>
          </a:extLst>
        </xdr:cNvPr>
        <xdr:cNvSpPr txBox="1"/>
      </xdr:nvSpPr>
      <xdr:spPr>
        <a:xfrm>
          <a:off x="5966829" y="5514904"/>
          <a:ext cx="325730" cy="2544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60A8762-9662-4F2A-9660-E9BF291E8E15}" type="TxLink">
            <a:rPr kumimoji="1" lang="en-US" altLang="en-US" sz="11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15810</xdr:colOff>
      <xdr:row>18</xdr:row>
      <xdr:rowOff>36975</xdr:rowOff>
    </xdr:from>
    <xdr:to>
      <xdr:col>26</xdr:col>
      <xdr:colOff>48567</xdr:colOff>
      <xdr:row>18</xdr:row>
      <xdr:rowOff>36975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6E56C519-9F2C-42EB-925F-CB18CF80BC5B}"/>
            </a:ext>
          </a:extLst>
        </xdr:cNvPr>
        <xdr:cNvCxnSpPr/>
      </xdr:nvCxnSpPr>
      <xdr:spPr>
        <a:xfrm>
          <a:off x="5502210" y="4167015"/>
          <a:ext cx="48995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227529</xdr:colOff>
      <xdr:row>18</xdr:row>
      <xdr:rowOff>5456</xdr:rowOff>
    </xdr:from>
    <xdr:to>
      <xdr:col>24</xdr:col>
      <xdr:colOff>3411</xdr:colOff>
      <xdr:row>18</xdr:row>
      <xdr:rowOff>192321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678F0A8D-4A4A-469A-AA25-FBC0ACE588B1}"/>
            </a:ext>
          </a:extLst>
        </xdr:cNvPr>
        <xdr:cNvCxnSpPr/>
      </xdr:nvCxnSpPr>
      <xdr:spPr>
        <a:xfrm>
          <a:off x="5485329" y="4135496"/>
          <a:ext cx="4482" cy="18686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86144</xdr:colOff>
      <xdr:row>18</xdr:row>
      <xdr:rowOff>221064</xdr:rowOff>
    </xdr:from>
    <xdr:to>
      <xdr:col>23</xdr:col>
      <xdr:colOff>86144</xdr:colOff>
      <xdr:row>20</xdr:row>
      <xdr:rowOff>33495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44D9B53E-5BAE-413E-9D21-B77FBB78FE67}"/>
            </a:ext>
          </a:extLst>
        </xdr:cNvPr>
        <xdr:cNvCxnSpPr/>
      </xdr:nvCxnSpPr>
      <xdr:spPr>
        <a:xfrm>
          <a:off x="5343944" y="4351104"/>
          <a:ext cx="0" cy="2696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80586</xdr:colOff>
      <xdr:row>18</xdr:row>
      <xdr:rowOff>188583</xdr:rowOff>
    </xdr:from>
    <xdr:ext cx="224998" cy="324576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AF6D65F-C0ED-473B-8DA2-5E41FCEC8BD1}"/>
            </a:ext>
          </a:extLst>
        </xdr:cNvPr>
        <xdr:cNvSpPr txBox="1"/>
      </xdr:nvSpPr>
      <xdr:spPr>
        <a:xfrm rot="16200000">
          <a:off x="5059997" y="4368412"/>
          <a:ext cx="32457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23</xdr:col>
      <xdr:colOff>33084</xdr:colOff>
      <xdr:row>18</xdr:row>
      <xdr:rowOff>219022</xdr:rowOff>
    </xdr:from>
    <xdr:to>
      <xdr:col>23</xdr:col>
      <xdr:colOff>152333</xdr:colOff>
      <xdr:row>18</xdr:row>
      <xdr:rowOff>219022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7E5CAE4A-6EB0-4AC5-9208-A534610CFF26}"/>
            </a:ext>
          </a:extLst>
        </xdr:cNvPr>
        <xdr:cNvCxnSpPr/>
      </xdr:nvCxnSpPr>
      <xdr:spPr>
        <a:xfrm>
          <a:off x="5290884" y="4349062"/>
          <a:ext cx="119249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114595</xdr:colOff>
      <xdr:row>21</xdr:row>
      <xdr:rowOff>213129</xdr:rowOff>
    </xdr:from>
    <xdr:ext cx="300082" cy="224998"/>
    <xdr:sp macro="" textlink="'1.設計条件'!T24">
      <xdr:nvSpPr>
        <xdr:cNvPr id="18" name="テキスト ボックス 17">
          <a:extLst>
            <a:ext uri="{FF2B5EF4-FFF2-40B4-BE49-F238E27FC236}">
              <a16:creationId xmlns:a16="http://schemas.microsoft.com/office/drawing/2014/main" id="{FAC08447-5979-4AB6-9046-AF9F45376C90}"/>
            </a:ext>
          </a:extLst>
        </xdr:cNvPr>
        <xdr:cNvSpPr txBox="1"/>
      </xdr:nvSpPr>
      <xdr:spPr>
        <a:xfrm>
          <a:off x="6743995" y="5028969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9B780F-D6AE-4E52-8AB6-27F6C3A428A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24924</xdr:colOff>
      <xdr:row>22</xdr:row>
      <xdr:rowOff>4406</xdr:rowOff>
    </xdr:from>
    <xdr:ext cx="502061" cy="224998"/>
    <xdr:sp macro="" textlink="$G$8">
      <xdr:nvSpPr>
        <xdr:cNvPr id="19" name="テキスト ボックス 18">
          <a:extLst>
            <a:ext uri="{FF2B5EF4-FFF2-40B4-BE49-F238E27FC236}">
              <a16:creationId xmlns:a16="http://schemas.microsoft.com/office/drawing/2014/main" id="{E6813E91-FE5E-4684-B90A-FB2976FAF115}"/>
            </a:ext>
          </a:extLst>
        </xdr:cNvPr>
        <xdr:cNvSpPr txBox="1"/>
      </xdr:nvSpPr>
      <xdr:spPr>
        <a:xfrm>
          <a:off x="5299740" y="5064678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83B3B4E-A8C0-4F78-838D-CEA52C0A9A7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41.239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</xdr:col>
      <xdr:colOff>43133</xdr:colOff>
      <xdr:row>20</xdr:row>
      <xdr:rowOff>48080</xdr:rowOff>
    </xdr:from>
    <xdr:ext cx="224998" cy="361959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D6CC543-B31F-4101-A656-CE0CAC655515}"/>
            </a:ext>
          </a:extLst>
        </xdr:cNvPr>
        <xdr:cNvSpPr txBox="1"/>
      </xdr:nvSpPr>
      <xdr:spPr>
        <a:xfrm rot="16200000">
          <a:off x="4318052" y="4703801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151911</xdr:colOff>
      <xdr:row>25</xdr:row>
      <xdr:rowOff>213029</xdr:rowOff>
    </xdr:from>
    <xdr:ext cx="349135" cy="224998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D1A784-257C-4C97-8514-9D9FC2B86F3B}"/>
            </a:ext>
          </a:extLst>
        </xdr:cNvPr>
        <xdr:cNvSpPr txBox="1"/>
      </xdr:nvSpPr>
      <xdr:spPr>
        <a:xfrm>
          <a:off x="4952511" y="594326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45523</xdr:colOff>
      <xdr:row>13</xdr:row>
      <xdr:rowOff>29842</xdr:rowOff>
    </xdr:from>
    <xdr:ext cx="336311" cy="224998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F1F33711-A343-4E17-963D-0694A5FBC41C}"/>
            </a:ext>
          </a:extLst>
        </xdr:cNvPr>
        <xdr:cNvSpPr txBox="1"/>
      </xdr:nvSpPr>
      <xdr:spPr>
        <a:xfrm>
          <a:off x="5760523" y="3016882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24411</xdr:colOff>
      <xdr:row>14</xdr:row>
      <xdr:rowOff>16339</xdr:rowOff>
    </xdr:from>
    <xdr:to>
      <xdr:col>27</xdr:col>
      <xdr:colOff>24411</xdr:colOff>
      <xdr:row>14</xdr:row>
      <xdr:rowOff>190183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40DE3EAD-9AF2-4CFD-B330-4FD0C106F506}"/>
            </a:ext>
          </a:extLst>
        </xdr:cNvPr>
        <xdr:cNvCxnSpPr/>
      </xdr:nvCxnSpPr>
      <xdr:spPr>
        <a:xfrm>
          <a:off x="6196611" y="3231979"/>
          <a:ext cx="0" cy="17384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30208</xdr:colOff>
      <xdr:row>15</xdr:row>
      <xdr:rowOff>187425</xdr:rowOff>
    </xdr:from>
    <xdr:to>
      <xdr:col>32</xdr:col>
      <xdr:colOff>191648</xdr:colOff>
      <xdr:row>15</xdr:row>
      <xdr:rowOff>187425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9A0D741B-576F-4731-BCF7-0FE5B8BA7149}"/>
            </a:ext>
          </a:extLst>
        </xdr:cNvPr>
        <xdr:cNvCxnSpPr/>
      </xdr:nvCxnSpPr>
      <xdr:spPr>
        <a:xfrm>
          <a:off x="6202408" y="3631665"/>
          <a:ext cx="1304440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139291</xdr:colOff>
      <xdr:row>13</xdr:row>
      <xdr:rowOff>29842</xdr:rowOff>
    </xdr:from>
    <xdr:ext cx="374783" cy="224998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4F5288F-6103-463E-852B-257D57263DB0}"/>
            </a:ext>
          </a:extLst>
        </xdr:cNvPr>
        <xdr:cNvSpPr txBox="1"/>
      </xdr:nvSpPr>
      <xdr:spPr>
        <a:xfrm>
          <a:off x="6540091" y="3016882"/>
          <a:ext cx="37478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15483</xdr:colOff>
      <xdr:row>24</xdr:row>
      <xdr:rowOff>98834</xdr:rowOff>
    </xdr:from>
    <xdr:to>
      <xdr:col>25</xdr:col>
      <xdr:colOff>105230</xdr:colOff>
      <xdr:row>25</xdr:row>
      <xdr:rowOff>185107</xdr:rowOff>
    </xdr:to>
    <xdr:sp macro="" textlink="">
      <xdr:nvSpPr>
        <xdr:cNvPr id="26" name="円弧 25">
          <a:extLst>
            <a:ext uri="{FF2B5EF4-FFF2-40B4-BE49-F238E27FC236}">
              <a16:creationId xmlns:a16="http://schemas.microsoft.com/office/drawing/2014/main" id="{47437806-AF19-4C4E-878D-50586601D96B}"/>
            </a:ext>
          </a:extLst>
        </xdr:cNvPr>
        <xdr:cNvSpPr/>
      </xdr:nvSpPr>
      <xdr:spPr>
        <a:xfrm rot="1800000">
          <a:off x="5519638" y="5617785"/>
          <a:ext cx="319087" cy="315613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76260</xdr:colOff>
      <xdr:row>25</xdr:row>
      <xdr:rowOff>54754</xdr:rowOff>
    </xdr:from>
    <xdr:to>
      <xdr:col>33</xdr:col>
      <xdr:colOff>553</xdr:colOff>
      <xdr:row>25</xdr:row>
      <xdr:rowOff>54754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8A87F080-BAD5-4106-991F-633FD147DACB}"/>
            </a:ext>
          </a:extLst>
        </xdr:cNvPr>
        <xdr:cNvCxnSpPr/>
      </xdr:nvCxnSpPr>
      <xdr:spPr>
        <a:xfrm>
          <a:off x="5597166" y="5820075"/>
          <a:ext cx="1989287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42911</xdr:colOff>
      <xdr:row>24</xdr:row>
      <xdr:rowOff>6145</xdr:rowOff>
    </xdr:from>
    <xdr:ext cx="355097" cy="24237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BF23A2B6-6485-49D5-91AE-4C8E0130C2C1}"/>
            </a:ext>
          </a:extLst>
        </xdr:cNvPr>
        <xdr:cNvSpPr txBox="1"/>
      </xdr:nvSpPr>
      <xdr:spPr>
        <a:xfrm>
          <a:off x="5776406" y="5525096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105127</xdr:colOff>
      <xdr:row>16</xdr:row>
      <xdr:rowOff>153880</xdr:rowOff>
    </xdr:from>
    <xdr:to>
      <xdr:col>27</xdr:col>
      <xdr:colOff>110361</xdr:colOff>
      <xdr:row>17</xdr:row>
      <xdr:rowOff>150022</xdr:rowOff>
    </xdr:to>
    <xdr:sp macro="" textlink="">
      <xdr:nvSpPr>
        <xdr:cNvPr id="29" name="円弧 28">
          <a:extLst>
            <a:ext uri="{FF2B5EF4-FFF2-40B4-BE49-F238E27FC236}">
              <a16:creationId xmlns:a16="http://schemas.microsoft.com/office/drawing/2014/main" id="{267E0A7A-11C4-4283-ACF4-B06A22B21CE3}"/>
            </a:ext>
          </a:extLst>
        </xdr:cNvPr>
        <xdr:cNvSpPr/>
      </xdr:nvSpPr>
      <xdr:spPr>
        <a:xfrm rot="9818130">
          <a:off x="6048727" y="3826720"/>
          <a:ext cx="233834" cy="224742"/>
        </a:xfrm>
        <a:prstGeom prst="arc">
          <a:avLst>
            <a:gd name="adj1" fmla="val 16304718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27</xdr:col>
      <xdr:colOff>29194</xdr:colOff>
      <xdr:row>15</xdr:row>
      <xdr:rowOff>48924</xdr:rowOff>
    </xdr:from>
    <xdr:to>
      <xdr:col>27</xdr:col>
      <xdr:colOff>29194</xdr:colOff>
      <xdr:row>18</xdr:row>
      <xdr:rowOff>93100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25E5B5EC-F456-4939-81A6-252BBAF70E10}"/>
            </a:ext>
          </a:extLst>
        </xdr:cNvPr>
        <xdr:cNvCxnSpPr/>
      </xdr:nvCxnSpPr>
      <xdr:spPr>
        <a:xfrm>
          <a:off x="6201394" y="3493164"/>
          <a:ext cx="0" cy="729976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175126</xdr:colOff>
      <xdr:row>16</xdr:row>
      <xdr:rowOff>180100</xdr:rowOff>
    </xdr:from>
    <xdr:ext cx="355097" cy="242374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F6AB771A-C994-4F2F-921E-7914B1B70241}"/>
            </a:ext>
          </a:extLst>
        </xdr:cNvPr>
        <xdr:cNvSpPr txBox="1"/>
      </xdr:nvSpPr>
      <xdr:spPr>
        <a:xfrm>
          <a:off x="6118726" y="3852940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21929</xdr:colOff>
      <xdr:row>14</xdr:row>
      <xdr:rowOff>56178</xdr:rowOff>
    </xdr:from>
    <xdr:to>
      <xdr:col>32</xdr:col>
      <xdr:colOff>199847</xdr:colOff>
      <xdr:row>14</xdr:row>
      <xdr:rowOff>56178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B2947C6C-A4FF-44AC-9AB9-4318A0A3EBCA}"/>
            </a:ext>
          </a:extLst>
        </xdr:cNvPr>
        <xdr:cNvCxnSpPr/>
      </xdr:nvCxnSpPr>
      <xdr:spPr>
        <a:xfrm>
          <a:off x="6194129" y="3271818"/>
          <a:ext cx="132091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199206</xdr:colOff>
      <xdr:row>14</xdr:row>
      <xdr:rowOff>16339</xdr:rowOff>
    </xdr:from>
    <xdr:to>
      <xdr:col>32</xdr:col>
      <xdr:colOff>199206</xdr:colOff>
      <xdr:row>14</xdr:row>
      <xdr:rowOff>190183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135E7354-3AE7-42ED-8FB7-E0EF4E1BEB6F}"/>
            </a:ext>
          </a:extLst>
        </xdr:cNvPr>
        <xdr:cNvCxnSpPr/>
      </xdr:nvCxnSpPr>
      <xdr:spPr>
        <a:xfrm>
          <a:off x="7514406" y="3231979"/>
          <a:ext cx="0" cy="17384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166962</xdr:colOff>
      <xdr:row>16</xdr:row>
      <xdr:rowOff>153156</xdr:rowOff>
    </xdr:from>
    <xdr:to>
      <xdr:col>28</xdr:col>
      <xdr:colOff>166962</xdr:colOff>
      <xdr:row>19</xdr:row>
      <xdr:rowOff>63274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63ACA846-D703-433B-B80D-E73AE7BCEDB5}"/>
            </a:ext>
          </a:extLst>
        </xdr:cNvPr>
        <xdr:cNvCxnSpPr/>
      </xdr:nvCxnSpPr>
      <xdr:spPr>
        <a:xfrm>
          <a:off x="6567762" y="3825996"/>
          <a:ext cx="0" cy="595918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117574</xdr:colOff>
      <xdr:row>16</xdr:row>
      <xdr:rowOff>88055</xdr:rowOff>
    </xdr:from>
    <xdr:ext cx="374718" cy="224998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C09802E0-51A9-4EDF-9C6D-9ACDD5448D8B}"/>
            </a:ext>
          </a:extLst>
        </xdr:cNvPr>
        <xdr:cNvSpPr txBox="1"/>
      </xdr:nvSpPr>
      <xdr:spPr>
        <a:xfrm>
          <a:off x="6518374" y="3760895"/>
          <a:ext cx="37471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223282</xdr:colOff>
      <xdr:row>21</xdr:row>
      <xdr:rowOff>126853</xdr:rowOff>
    </xdr:from>
    <xdr:to>
      <xdr:col>29</xdr:col>
      <xdr:colOff>208748</xdr:colOff>
      <xdr:row>21</xdr:row>
      <xdr:rowOff>126853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2EA82974-661A-4507-BB0F-21439649B973}"/>
            </a:ext>
          </a:extLst>
        </xdr:cNvPr>
        <xdr:cNvCxnSpPr/>
      </xdr:nvCxnSpPr>
      <xdr:spPr>
        <a:xfrm rot="2460000">
          <a:off x="6395482" y="4942693"/>
          <a:ext cx="442666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148147</xdr:colOff>
      <xdr:row>20</xdr:row>
      <xdr:rowOff>206435</xdr:rowOff>
    </xdr:from>
    <xdr:to>
      <xdr:col>28</xdr:col>
      <xdr:colOff>148147</xdr:colOff>
      <xdr:row>23</xdr:row>
      <xdr:rowOff>86774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A3BD748F-A4E2-4E16-BC0F-D3E8EDB9B266}"/>
            </a:ext>
          </a:extLst>
        </xdr:cNvPr>
        <xdr:cNvCxnSpPr/>
      </xdr:nvCxnSpPr>
      <xdr:spPr>
        <a:xfrm rot="4260000">
          <a:off x="6265877" y="5076745"/>
          <a:ext cx="566139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224525</xdr:colOff>
      <xdr:row>21</xdr:row>
      <xdr:rowOff>2460</xdr:rowOff>
    </xdr:from>
    <xdr:to>
      <xdr:col>29</xdr:col>
      <xdr:colOff>2826</xdr:colOff>
      <xdr:row>22</xdr:row>
      <xdr:rowOff>498</xdr:rowOff>
    </xdr:to>
    <xdr:sp macro="" textlink="">
      <xdr:nvSpPr>
        <xdr:cNvPr id="38" name="円弧 37">
          <a:extLst>
            <a:ext uri="{FF2B5EF4-FFF2-40B4-BE49-F238E27FC236}">
              <a16:creationId xmlns:a16="http://schemas.microsoft.com/office/drawing/2014/main" id="{C57B2B66-E56B-45E5-88A6-566F9F0A8ADA}"/>
            </a:ext>
          </a:extLst>
        </xdr:cNvPr>
        <xdr:cNvSpPr/>
      </xdr:nvSpPr>
      <xdr:spPr>
        <a:xfrm rot="5940764">
          <a:off x="6401157" y="4813868"/>
          <a:ext cx="226638" cy="235501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28</xdr:col>
      <xdr:colOff>129091</xdr:colOff>
      <xdr:row>21</xdr:row>
      <xdr:rowOff>205831</xdr:rowOff>
    </xdr:from>
    <xdr:ext cx="355097" cy="242374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935D85F9-BFDB-4803-A12D-538DCD2A18B6}"/>
            </a:ext>
          </a:extLst>
        </xdr:cNvPr>
        <xdr:cNvSpPr txBox="1"/>
      </xdr:nvSpPr>
      <xdr:spPr>
        <a:xfrm>
          <a:off x="6529891" y="5021671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110463</xdr:colOff>
      <xdr:row>21</xdr:row>
      <xdr:rowOff>203497</xdr:rowOff>
    </xdr:from>
    <xdr:to>
      <xdr:col>25</xdr:col>
      <xdr:colOff>76975</xdr:colOff>
      <xdr:row>21</xdr:row>
      <xdr:rowOff>203497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D10D9B1A-A57B-4B6F-91B0-C87AAB2FE306}"/>
            </a:ext>
          </a:extLst>
        </xdr:cNvPr>
        <xdr:cNvCxnSpPr/>
      </xdr:nvCxnSpPr>
      <xdr:spPr>
        <a:xfrm rot="5160000">
          <a:off x="5694419" y="4921781"/>
          <a:ext cx="0" cy="195112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85447</xdr:colOff>
      <xdr:row>21</xdr:row>
      <xdr:rowOff>121504</xdr:rowOff>
    </xdr:from>
    <xdr:to>
      <xdr:col>25</xdr:col>
      <xdr:colOff>89672</xdr:colOff>
      <xdr:row>21</xdr:row>
      <xdr:rowOff>195307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17B6599F-811D-4BF3-84BA-DD65B24472F4}"/>
            </a:ext>
          </a:extLst>
        </xdr:cNvPr>
        <xdr:cNvCxnSpPr/>
      </xdr:nvCxnSpPr>
      <xdr:spPr>
        <a:xfrm>
          <a:off x="5571847" y="4937344"/>
          <a:ext cx="232825" cy="73803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23</xdr:col>
      <xdr:colOff>113212</xdr:colOff>
      <xdr:row>20</xdr:row>
      <xdr:rowOff>10156</xdr:rowOff>
    </xdr:from>
    <xdr:ext cx="355097" cy="242374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E2A12D6-D5C7-4D90-8251-559AE1D48000}"/>
            </a:ext>
          </a:extLst>
        </xdr:cNvPr>
        <xdr:cNvSpPr txBox="1"/>
      </xdr:nvSpPr>
      <xdr:spPr>
        <a:xfrm>
          <a:off x="5371012" y="4597396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154494</xdr:colOff>
      <xdr:row>21</xdr:row>
      <xdr:rowOff>91389</xdr:rowOff>
    </xdr:from>
    <xdr:to>
      <xdr:col>25</xdr:col>
      <xdr:colOff>180140</xdr:colOff>
      <xdr:row>22</xdr:row>
      <xdr:rowOff>83966</xdr:rowOff>
    </xdr:to>
    <xdr:sp macro="" textlink="">
      <xdr:nvSpPr>
        <xdr:cNvPr id="43" name="円弧 42">
          <a:extLst>
            <a:ext uri="{FF2B5EF4-FFF2-40B4-BE49-F238E27FC236}">
              <a16:creationId xmlns:a16="http://schemas.microsoft.com/office/drawing/2014/main" id="{F55110DE-BEB0-47AE-A23A-CAD23E520E8D}"/>
            </a:ext>
          </a:extLst>
        </xdr:cNvPr>
        <xdr:cNvSpPr/>
      </xdr:nvSpPr>
      <xdr:spPr>
        <a:xfrm rot="11882846">
          <a:off x="5640894" y="4907229"/>
          <a:ext cx="254246" cy="221177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159748</xdr:colOff>
      <xdr:row>21</xdr:row>
      <xdr:rowOff>30681</xdr:rowOff>
    </xdr:from>
    <xdr:to>
      <xdr:col>25</xdr:col>
      <xdr:colOff>165882</xdr:colOff>
      <xdr:row>22</xdr:row>
      <xdr:rowOff>35820</xdr:rowOff>
    </xdr:to>
    <xdr:sp macro="" textlink="">
      <xdr:nvSpPr>
        <xdr:cNvPr id="44" name="円弧 43">
          <a:extLst>
            <a:ext uri="{FF2B5EF4-FFF2-40B4-BE49-F238E27FC236}">
              <a16:creationId xmlns:a16="http://schemas.microsoft.com/office/drawing/2014/main" id="{A01EB7B3-79EE-484D-A5CF-5D687E2C56EC}"/>
            </a:ext>
          </a:extLst>
        </xdr:cNvPr>
        <xdr:cNvSpPr/>
      </xdr:nvSpPr>
      <xdr:spPr>
        <a:xfrm rot="16419954">
          <a:off x="5646645" y="4846024"/>
          <a:ext cx="233739" cy="234734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23</xdr:col>
      <xdr:colOff>46304</xdr:colOff>
      <xdr:row>21</xdr:row>
      <xdr:rowOff>127962</xdr:rowOff>
    </xdr:from>
    <xdr:ext cx="302199" cy="224998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CCE0518-C8A0-47E6-AF0D-07AB0B4E87F7}"/>
            </a:ext>
          </a:extLst>
        </xdr:cNvPr>
        <xdr:cNvSpPr txBox="1"/>
      </xdr:nvSpPr>
      <xdr:spPr>
        <a:xfrm>
          <a:off x="5304104" y="4943802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95761</xdr:colOff>
      <xdr:row>20</xdr:row>
      <xdr:rowOff>182258</xdr:rowOff>
    </xdr:from>
    <xdr:to>
      <xdr:col>28</xdr:col>
      <xdr:colOff>152440</xdr:colOff>
      <xdr:row>20</xdr:row>
      <xdr:rowOff>211279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C13852A7-089F-43FD-876A-0209AEB8A4AB}"/>
            </a:ext>
          </a:extLst>
        </xdr:cNvPr>
        <xdr:cNvCxnSpPr/>
      </xdr:nvCxnSpPr>
      <xdr:spPr>
        <a:xfrm>
          <a:off x="6496561" y="4769498"/>
          <a:ext cx="56679" cy="29021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109780</xdr:colOff>
      <xdr:row>20</xdr:row>
      <xdr:rowOff>214383</xdr:rowOff>
    </xdr:from>
    <xdr:to>
      <xdr:col>28</xdr:col>
      <xdr:colOff>142179</xdr:colOff>
      <xdr:row>21</xdr:row>
      <xdr:rowOff>26185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EAFBF444-C243-4E6F-AE1E-76A8A608E89B}"/>
            </a:ext>
          </a:extLst>
        </xdr:cNvPr>
        <xdr:cNvCxnSpPr/>
      </xdr:nvCxnSpPr>
      <xdr:spPr>
        <a:xfrm flipH="1">
          <a:off x="6510580" y="4801623"/>
          <a:ext cx="32399" cy="40402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31196</xdr:colOff>
      <xdr:row>21</xdr:row>
      <xdr:rowOff>111613</xdr:rowOff>
    </xdr:from>
    <xdr:to>
      <xdr:col>25</xdr:col>
      <xdr:colOff>95337</xdr:colOff>
      <xdr:row>21</xdr:row>
      <xdr:rowOff>132746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59211BF1-D0B0-492B-8EC6-F67467CC368E}"/>
            </a:ext>
          </a:extLst>
        </xdr:cNvPr>
        <xdr:cNvCxnSpPr/>
      </xdr:nvCxnSpPr>
      <xdr:spPr>
        <a:xfrm>
          <a:off x="5746196" y="4927453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19187</xdr:colOff>
      <xdr:row>21</xdr:row>
      <xdr:rowOff>116606</xdr:rowOff>
    </xdr:from>
    <xdr:to>
      <xdr:col>25</xdr:col>
      <xdr:colOff>36584</xdr:colOff>
      <xdr:row>21</xdr:row>
      <xdr:rowOff>172594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16E8E65D-1775-4F42-BA32-EF8C163160C9}"/>
            </a:ext>
          </a:extLst>
        </xdr:cNvPr>
        <xdr:cNvCxnSpPr/>
      </xdr:nvCxnSpPr>
      <xdr:spPr>
        <a:xfrm flipH="1">
          <a:off x="5734187" y="4932446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39408</xdr:colOff>
      <xdr:row>15</xdr:row>
      <xdr:rowOff>24869</xdr:rowOff>
    </xdr:from>
    <xdr:to>
      <xdr:col>27</xdr:col>
      <xdr:colOff>40804</xdr:colOff>
      <xdr:row>15</xdr:row>
      <xdr:rowOff>181629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6FA71212-7004-44C1-81FB-C4D75FBD3BD8}"/>
            </a:ext>
          </a:extLst>
        </xdr:cNvPr>
        <xdr:cNvCxnSpPr/>
      </xdr:nvCxnSpPr>
      <xdr:spPr>
        <a:xfrm flipH="1">
          <a:off x="6211608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149058</xdr:colOff>
      <xdr:row>15</xdr:row>
      <xdr:rowOff>24869</xdr:rowOff>
    </xdr:from>
    <xdr:to>
      <xdr:col>27</xdr:col>
      <xdr:colOff>150454</xdr:colOff>
      <xdr:row>15</xdr:row>
      <xdr:rowOff>181629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EA39E07B-E378-4709-82D0-D1A430D443CF}"/>
            </a:ext>
          </a:extLst>
        </xdr:cNvPr>
        <xdr:cNvCxnSpPr/>
      </xdr:nvCxnSpPr>
      <xdr:spPr>
        <a:xfrm flipH="1">
          <a:off x="6321258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19909</xdr:colOff>
      <xdr:row>15</xdr:row>
      <xdr:rowOff>24869</xdr:rowOff>
    </xdr:from>
    <xdr:to>
      <xdr:col>28</xdr:col>
      <xdr:colOff>21305</xdr:colOff>
      <xdr:row>15</xdr:row>
      <xdr:rowOff>181629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F38EF3EC-2D90-4F8E-AB02-A595F49D50DF}"/>
            </a:ext>
          </a:extLst>
        </xdr:cNvPr>
        <xdr:cNvCxnSpPr/>
      </xdr:nvCxnSpPr>
      <xdr:spPr>
        <a:xfrm flipH="1">
          <a:off x="6420709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132409</xdr:colOff>
      <xdr:row>15</xdr:row>
      <xdr:rowOff>24869</xdr:rowOff>
    </xdr:from>
    <xdr:to>
      <xdr:col>28</xdr:col>
      <xdr:colOff>133805</xdr:colOff>
      <xdr:row>15</xdr:row>
      <xdr:rowOff>181629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A17F5AFF-1724-4B81-8455-2502D8361C4E}"/>
            </a:ext>
          </a:extLst>
        </xdr:cNvPr>
        <xdr:cNvCxnSpPr/>
      </xdr:nvCxnSpPr>
      <xdr:spPr>
        <a:xfrm flipH="1">
          <a:off x="6533209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6170</xdr:colOff>
      <xdr:row>15</xdr:row>
      <xdr:rowOff>24869</xdr:rowOff>
    </xdr:from>
    <xdr:to>
      <xdr:col>29</xdr:col>
      <xdr:colOff>7566</xdr:colOff>
      <xdr:row>15</xdr:row>
      <xdr:rowOff>181629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7E3AE6CC-38CF-4CD5-987B-92DE65A0B7BE}"/>
            </a:ext>
          </a:extLst>
        </xdr:cNvPr>
        <xdr:cNvCxnSpPr/>
      </xdr:nvCxnSpPr>
      <xdr:spPr>
        <a:xfrm flipH="1">
          <a:off x="6635570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105980</xdr:colOff>
      <xdr:row>15</xdr:row>
      <xdr:rowOff>24869</xdr:rowOff>
    </xdr:from>
    <xdr:to>
      <xdr:col>29</xdr:col>
      <xdr:colOff>107376</xdr:colOff>
      <xdr:row>15</xdr:row>
      <xdr:rowOff>181629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E4D36C25-209F-41E7-8930-F95E976411F4}"/>
            </a:ext>
          </a:extLst>
        </xdr:cNvPr>
        <xdr:cNvCxnSpPr/>
      </xdr:nvCxnSpPr>
      <xdr:spPr>
        <a:xfrm flipH="1">
          <a:off x="6735380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203416</xdr:colOff>
      <xdr:row>15</xdr:row>
      <xdr:rowOff>24869</xdr:rowOff>
    </xdr:from>
    <xdr:to>
      <xdr:col>29</xdr:col>
      <xdr:colOff>204812</xdr:colOff>
      <xdr:row>15</xdr:row>
      <xdr:rowOff>181629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C27DFA4-5163-40BD-B661-C2A338C21359}"/>
            </a:ext>
          </a:extLst>
        </xdr:cNvPr>
        <xdr:cNvCxnSpPr/>
      </xdr:nvCxnSpPr>
      <xdr:spPr>
        <a:xfrm flipH="1">
          <a:off x="6832816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87704</xdr:colOff>
      <xdr:row>15</xdr:row>
      <xdr:rowOff>24869</xdr:rowOff>
    </xdr:from>
    <xdr:to>
      <xdr:col>30</xdr:col>
      <xdr:colOff>89100</xdr:colOff>
      <xdr:row>15</xdr:row>
      <xdr:rowOff>181629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AB85435-6861-4AE5-8B47-79C89C790800}"/>
            </a:ext>
          </a:extLst>
        </xdr:cNvPr>
        <xdr:cNvCxnSpPr/>
      </xdr:nvCxnSpPr>
      <xdr:spPr>
        <a:xfrm flipH="1">
          <a:off x="6945704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188548</xdr:colOff>
      <xdr:row>15</xdr:row>
      <xdr:rowOff>24869</xdr:rowOff>
    </xdr:from>
    <xdr:to>
      <xdr:col>30</xdr:col>
      <xdr:colOff>189944</xdr:colOff>
      <xdr:row>15</xdr:row>
      <xdr:rowOff>181629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787D9039-CFE3-4D34-BD08-25EB95DD4AC8}"/>
            </a:ext>
          </a:extLst>
        </xdr:cNvPr>
        <xdr:cNvCxnSpPr/>
      </xdr:nvCxnSpPr>
      <xdr:spPr>
        <a:xfrm flipH="1">
          <a:off x="7046548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69293</xdr:colOff>
      <xdr:row>15</xdr:row>
      <xdr:rowOff>24869</xdr:rowOff>
    </xdr:from>
    <xdr:to>
      <xdr:col>31</xdr:col>
      <xdr:colOff>70689</xdr:colOff>
      <xdr:row>15</xdr:row>
      <xdr:rowOff>181629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4F441BF0-361A-43F4-B0DF-D30AA4E9E6D2}"/>
            </a:ext>
          </a:extLst>
        </xdr:cNvPr>
        <xdr:cNvCxnSpPr/>
      </xdr:nvCxnSpPr>
      <xdr:spPr>
        <a:xfrm flipH="1">
          <a:off x="7155893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193580</xdr:colOff>
      <xdr:row>15</xdr:row>
      <xdr:rowOff>24869</xdr:rowOff>
    </xdr:from>
    <xdr:to>
      <xdr:col>31</xdr:col>
      <xdr:colOff>194976</xdr:colOff>
      <xdr:row>15</xdr:row>
      <xdr:rowOff>181629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7AB04612-1C91-4BDD-99AD-4B2678FA9FA3}"/>
            </a:ext>
          </a:extLst>
        </xdr:cNvPr>
        <xdr:cNvCxnSpPr/>
      </xdr:nvCxnSpPr>
      <xdr:spPr>
        <a:xfrm flipH="1">
          <a:off x="7280180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77144</xdr:colOff>
      <xdr:row>15</xdr:row>
      <xdr:rowOff>24869</xdr:rowOff>
    </xdr:from>
    <xdr:to>
      <xdr:col>32</xdr:col>
      <xdr:colOff>78540</xdr:colOff>
      <xdr:row>15</xdr:row>
      <xdr:rowOff>181629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82D4CB4D-397F-46BA-BA25-85540340C026}"/>
            </a:ext>
          </a:extLst>
        </xdr:cNvPr>
        <xdr:cNvCxnSpPr/>
      </xdr:nvCxnSpPr>
      <xdr:spPr>
        <a:xfrm flipH="1">
          <a:off x="7392344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193581</xdr:colOff>
      <xdr:row>15</xdr:row>
      <xdr:rowOff>24869</xdr:rowOff>
    </xdr:from>
    <xdr:to>
      <xdr:col>32</xdr:col>
      <xdr:colOff>194977</xdr:colOff>
      <xdr:row>15</xdr:row>
      <xdr:rowOff>181629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61BBC69C-3F64-4F92-97BC-282A9C452705}"/>
            </a:ext>
          </a:extLst>
        </xdr:cNvPr>
        <xdr:cNvCxnSpPr/>
      </xdr:nvCxnSpPr>
      <xdr:spPr>
        <a:xfrm flipH="1">
          <a:off x="7508781" y="346910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19</xdr:col>
      <xdr:colOff>43132</xdr:colOff>
      <xdr:row>18</xdr:row>
      <xdr:rowOff>208269</xdr:rowOff>
    </xdr:from>
    <xdr:ext cx="224998" cy="444352"/>
    <xdr:sp macro="" textlink="'1.設計条件'!T5">
      <xdr:nvSpPr>
        <xdr:cNvPr id="63" name="テキスト ボックス 62">
          <a:extLst>
            <a:ext uri="{FF2B5EF4-FFF2-40B4-BE49-F238E27FC236}">
              <a16:creationId xmlns:a16="http://schemas.microsoft.com/office/drawing/2014/main" id="{3E452EEB-B292-4759-8547-07E0EEF98026}"/>
            </a:ext>
          </a:extLst>
        </xdr:cNvPr>
        <xdr:cNvSpPr txBox="1"/>
      </xdr:nvSpPr>
      <xdr:spPr>
        <a:xfrm rot="16200000">
          <a:off x="4276855" y="444798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5C5FA1-3E40-4227-B4C2-A38712D88AC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14001</xdr:colOff>
      <xdr:row>13</xdr:row>
      <xdr:rowOff>29841</xdr:rowOff>
    </xdr:from>
    <xdr:ext cx="444352" cy="224998"/>
    <xdr:sp macro="" textlink="'1.設計条件'!T7">
      <xdr:nvSpPr>
        <xdr:cNvPr id="64" name="テキスト ボックス 63">
          <a:extLst>
            <a:ext uri="{FF2B5EF4-FFF2-40B4-BE49-F238E27FC236}">
              <a16:creationId xmlns:a16="http://schemas.microsoft.com/office/drawing/2014/main" id="{1250B40B-3862-4AA7-87B9-3B980B2021F5}"/>
            </a:ext>
          </a:extLst>
        </xdr:cNvPr>
        <xdr:cNvSpPr txBox="1"/>
      </xdr:nvSpPr>
      <xdr:spPr>
        <a:xfrm>
          <a:off x="5957601" y="30168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15F30C5-2DCF-4211-AE7D-695D8D414C36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138303</xdr:colOff>
      <xdr:row>25</xdr:row>
      <xdr:rowOff>223915</xdr:rowOff>
    </xdr:from>
    <xdr:ext cx="444352" cy="224998"/>
    <xdr:sp macro="" textlink="'1.設計条件'!T9">
      <xdr:nvSpPr>
        <xdr:cNvPr id="65" name="テキスト ボックス 64">
          <a:extLst>
            <a:ext uri="{FF2B5EF4-FFF2-40B4-BE49-F238E27FC236}">
              <a16:creationId xmlns:a16="http://schemas.microsoft.com/office/drawing/2014/main" id="{24349F79-6EB4-4E65-88C9-A50C3EB48330}"/>
            </a:ext>
          </a:extLst>
        </xdr:cNvPr>
        <xdr:cNvSpPr txBox="1"/>
      </xdr:nvSpPr>
      <xdr:spPr>
        <a:xfrm>
          <a:off x="5167503" y="59541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136490-56BA-4412-A60F-D119A4A04E4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74568</xdr:colOff>
      <xdr:row>15</xdr:row>
      <xdr:rowOff>200474</xdr:rowOff>
    </xdr:from>
    <xdr:to>
      <xdr:col>27</xdr:col>
      <xdr:colOff>18570</xdr:colOff>
      <xdr:row>15</xdr:row>
      <xdr:rowOff>200474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3367FA9D-02BA-4727-BF20-8D3424865278}"/>
            </a:ext>
          </a:extLst>
        </xdr:cNvPr>
        <xdr:cNvCxnSpPr/>
      </xdr:nvCxnSpPr>
      <xdr:spPr>
        <a:xfrm>
          <a:off x="5789568" y="3644714"/>
          <a:ext cx="40120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142802</xdr:colOff>
      <xdr:row>15</xdr:row>
      <xdr:rowOff>199837</xdr:rowOff>
    </xdr:from>
    <xdr:to>
      <xdr:col>24</xdr:col>
      <xdr:colOff>97025</xdr:colOff>
      <xdr:row>15</xdr:row>
      <xdr:rowOff>199837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7B4C6AF6-73EF-42AC-8D71-8B9EA60AA4CD}"/>
            </a:ext>
          </a:extLst>
        </xdr:cNvPr>
        <xdr:cNvCxnSpPr/>
      </xdr:nvCxnSpPr>
      <xdr:spPr>
        <a:xfrm>
          <a:off x="4486202" y="3644077"/>
          <a:ext cx="109722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191666</xdr:colOff>
      <xdr:row>25</xdr:row>
      <xdr:rowOff>56839</xdr:rowOff>
    </xdr:from>
    <xdr:to>
      <xdr:col>21</xdr:col>
      <xdr:colOff>212572</xdr:colOff>
      <xdr:row>25</xdr:row>
      <xdr:rowOff>56839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34FC053A-AC6B-4872-A351-847B4ED14213}"/>
            </a:ext>
          </a:extLst>
        </xdr:cNvPr>
        <xdr:cNvCxnSpPr/>
      </xdr:nvCxnSpPr>
      <xdr:spPr>
        <a:xfrm>
          <a:off x="4535066" y="5787079"/>
          <a:ext cx="4781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122585</xdr:colOff>
      <xdr:row>25</xdr:row>
      <xdr:rowOff>210627</xdr:rowOff>
    </xdr:from>
    <xdr:to>
      <xdr:col>24</xdr:col>
      <xdr:colOff>138588</xdr:colOff>
      <xdr:row>25</xdr:row>
      <xdr:rowOff>210627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51DF833B-050F-4E18-9FCD-7C8B90B554AA}"/>
            </a:ext>
          </a:extLst>
        </xdr:cNvPr>
        <xdr:cNvCxnSpPr/>
      </xdr:nvCxnSpPr>
      <xdr:spPr>
        <a:xfrm>
          <a:off x="5151785" y="5940867"/>
          <a:ext cx="47320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97549</xdr:colOff>
      <xdr:row>15</xdr:row>
      <xdr:rowOff>193928</xdr:rowOff>
    </xdr:from>
    <xdr:to>
      <xdr:col>27</xdr:col>
      <xdr:colOff>14361</xdr:colOff>
      <xdr:row>24</xdr:row>
      <xdr:rowOff>177174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7C8057BC-FD03-44D5-82BB-9B80592EAC39}"/>
            </a:ext>
          </a:extLst>
        </xdr:cNvPr>
        <xdr:cNvCxnSpPr/>
      </xdr:nvCxnSpPr>
      <xdr:spPr>
        <a:xfrm flipH="1">
          <a:off x="5583949" y="3638168"/>
          <a:ext cx="602612" cy="204064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135620</xdr:colOff>
      <xdr:row>25</xdr:row>
      <xdr:rowOff>93740</xdr:rowOff>
    </xdr:from>
    <xdr:to>
      <xdr:col>24</xdr:col>
      <xdr:colOff>135620</xdr:colOff>
      <xdr:row>26</xdr:row>
      <xdr:rowOff>50560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421B0930-A0A9-43EB-A6AA-5CCB49CAC489}"/>
            </a:ext>
          </a:extLst>
        </xdr:cNvPr>
        <xdr:cNvCxnSpPr/>
      </xdr:nvCxnSpPr>
      <xdr:spPr>
        <a:xfrm>
          <a:off x="5622020" y="5823980"/>
          <a:ext cx="0" cy="18542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159926</xdr:colOff>
      <xdr:row>15</xdr:row>
      <xdr:rowOff>196970</xdr:rowOff>
    </xdr:from>
    <xdr:to>
      <xdr:col>25</xdr:col>
      <xdr:colOff>73801</xdr:colOff>
      <xdr:row>24</xdr:row>
      <xdr:rowOff>184570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77C00D71-A9E1-4C15-9B0D-46527670B5D7}"/>
            </a:ext>
          </a:extLst>
        </xdr:cNvPr>
        <xdr:cNvCxnSpPr/>
      </xdr:nvCxnSpPr>
      <xdr:spPr>
        <a:xfrm flipH="1">
          <a:off x="5189126" y="3641210"/>
          <a:ext cx="599675" cy="2045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113592</xdr:colOff>
      <xdr:row>24</xdr:row>
      <xdr:rowOff>188924</xdr:rowOff>
    </xdr:from>
    <xdr:to>
      <xdr:col>24</xdr:col>
      <xdr:colOff>129595</xdr:colOff>
      <xdr:row>25</xdr:row>
      <xdr:rowOff>51995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F78B7DF5-D42F-4672-BEE7-13DF37C4C3D3}"/>
            </a:ext>
          </a:extLst>
        </xdr:cNvPr>
        <xdr:cNvSpPr/>
      </xdr:nvSpPr>
      <xdr:spPr>
        <a:xfrm>
          <a:off x="5142792" y="5690564"/>
          <a:ext cx="473203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20</xdr:col>
      <xdr:colOff>14456</xdr:colOff>
      <xdr:row>15</xdr:row>
      <xdr:rowOff>200663</xdr:rowOff>
    </xdr:from>
    <xdr:to>
      <xdr:col>20</xdr:col>
      <xdr:colOff>14456</xdr:colOff>
      <xdr:row>25</xdr:row>
      <xdr:rowOff>60405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CEB5B406-6578-4C3A-8CE4-593C72A7D6DA}"/>
            </a:ext>
          </a:extLst>
        </xdr:cNvPr>
        <xdr:cNvCxnSpPr/>
      </xdr:nvCxnSpPr>
      <xdr:spPr>
        <a:xfrm>
          <a:off x="4586456" y="3644903"/>
          <a:ext cx="0" cy="21457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6039</xdr:colOff>
      <xdr:row>16</xdr:row>
      <xdr:rowOff>69494</xdr:rowOff>
    </xdr:from>
    <xdr:to>
      <xdr:col>26</xdr:col>
      <xdr:colOff>117081</xdr:colOff>
      <xdr:row>24</xdr:row>
      <xdr:rowOff>175454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E30FA938-F085-4875-84C8-41F49BCE0F54}"/>
            </a:ext>
          </a:extLst>
        </xdr:cNvPr>
        <xdr:cNvCxnSpPr/>
      </xdr:nvCxnSpPr>
      <xdr:spPr>
        <a:xfrm flipH="1">
          <a:off x="5492439" y="3742334"/>
          <a:ext cx="568242" cy="193476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34530</xdr:colOff>
      <xdr:row>23</xdr:row>
      <xdr:rowOff>48899</xdr:rowOff>
    </xdr:from>
    <xdr:to>
      <xdr:col>24</xdr:col>
      <xdr:colOff>114442</xdr:colOff>
      <xdr:row>23</xdr:row>
      <xdr:rowOff>48899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3D13821E-1720-4F63-A3EF-C19DAE38CCCD}"/>
            </a:ext>
          </a:extLst>
        </xdr:cNvPr>
        <xdr:cNvCxnSpPr/>
      </xdr:nvCxnSpPr>
      <xdr:spPr>
        <a:xfrm>
          <a:off x="5292330" y="5321939"/>
          <a:ext cx="30851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134679</xdr:colOff>
      <xdr:row>21</xdr:row>
      <xdr:rowOff>182209</xdr:rowOff>
    </xdr:from>
    <xdr:to>
      <xdr:col>24</xdr:col>
      <xdr:colOff>213843</xdr:colOff>
      <xdr:row>21</xdr:row>
      <xdr:rowOff>182209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40C9ADD3-EEC9-49DE-B7B0-6A49442D64B1}"/>
            </a:ext>
          </a:extLst>
        </xdr:cNvPr>
        <xdr:cNvCxnSpPr/>
      </xdr:nvCxnSpPr>
      <xdr:spPr>
        <a:xfrm>
          <a:off x="5392479" y="4998049"/>
          <a:ext cx="30776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1127</xdr:colOff>
      <xdr:row>20</xdr:row>
      <xdr:rowOff>49324</xdr:rowOff>
    </xdr:from>
    <xdr:to>
      <xdr:col>25</xdr:col>
      <xdr:colOff>84386</xdr:colOff>
      <xdr:row>20</xdr:row>
      <xdr:rowOff>49324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72D9ECBA-75AA-47AF-9D9D-9664E11D76D7}"/>
            </a:ext>
          </a:extLst>
        </xdr:cNvPr>
        <xdr:cNvCxnSpPr/>
      </xdr:nvCxnSpPr>
      <xdr:spPr>
        <a:xfrm>
          <a:off x="5487527" y="4636564"/>
          <a:ext cx="3118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108977</xdr:colOff>
      <xdr:row>18</xdr:row>
      <xdr:rowOff>179493</xdr:rowOff>
    </xdr:from>
    <xdr:to>
      <xdr:col>25</xdr:col>
      <xdr:colOff>193076</xdr:colOff>
      <xdr:row>18</xdr:row>
      <xdr:rowOff>179493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EA728A0B-DFC8-4C6F-BD16-78286E3E5929}"/>
            </a:ext>
          </a:extLst>
        </xdr:cNvPr>
        <xdr:cNvCxnSpPr/>
      </xdr:nvCxnSpPr>
      <xdr:spPr>
        <a:xfrm>
          <a:off x="5595377" y="4309533"/>
          <a:ext cx="31269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217086</xdr:colOff>
      <xdr:row>17</xdr:row>
      <xdr:rowOff>41038</xdr:rowOff>
    </xdr:from>
    <xdr:to>
      <xdr:col>26</xdr:col>
      <xdr:colOff>71747</xdr:colOff>
      <xdr:row>17</xdr:row>
      <xdr:rowOff>41038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2D0EFF0D-FE2C-4F54-8685-4AEE16B3857C}"/>
            </a:ext>
          </a:extLst>
        </xdr:cNvPr>
        <xdr:cNvCxnSpPr/>
      </xdr:nvCxnSpPr>
      <xdr:spPr>
        <a:xfrm>
          <a:off x="5703486" y="3942478"/>
          <a:ext cx="31186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30615</xdr:colOff>
      <xdr:row>16</xdr:row>
      <xdr:rowOff>73520</xdr:rowOff>
    </xdr:from>
    <xdr:to>
      <xdr:col>26</xdr:col>
      <xdr:colOff>216324</xdr:colOff>
      <xdr:row>16</xdr:row>
      <xdr:rowOff>73520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B7629AE0-03BF-4957-8B62-204B62D3D487}"/>
            </a:ext>
          </a:extLst>
        </xdr:cNvPr>
        <xdr:cNvCxnSpPr/>
      </xdr:nvCxnSpPr>
      <xdr:spPr>
        <a:xfrm>
          <a:off x="5745615" y="3746360"/>
          <a:ext cx="41430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79770</xdr:colOff>
      <xdr:row>14</xdr:row>
      <xdr:rowOff>56133</xdr:rowOff>
    </xdr:from>
    <xdr:to>
      <xdr:col>27</xdr:col>
      <xdr:colOff>28127</xdr:colOff>
      <xdr:row>14</xdr:row>
      <xdr:rowOff>56133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12080804-6BB6-4222-AB5D-F7779DD3ED8A}"/>
            </a:ext>
          </a:extLst>
        </xdr:cNvPr>
        <xdr:cNvCxnSpPr/>
      </xdr:nvCxnSpPr>
      <xdr:spPr>
        <a:xfrm>
          <a:off x="5794770" y="3271773"/>
          <a:ext cx="40555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77368</xdr:colOff>
      <xdr:row>14</xdr:row>
      <xdr:rowOff>35289</xdr:rowOff>
    </xdr:from>
    <xdr:to>
      <xdr:col>25</xdr:col>
      <xdr:colOff>77368</xdr:colOff>
      <xdr:row>15</xdr:row>
      <xdr:rowOff>2463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E0220D41-60E1-4BCA-98E4-6C52AA92F819}"/>
            </a:ext>
          </a:extLst>
        </xdr:cNvPr>
        <xdr:cNvCxnSpPr/>
      </xdr:nvCxnSpPr>
      <xdr:spPr>
        <a:xfrm>
          <a:off x="5792368" y="3250929"/>
          <a:ext cx="0" cy="19577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151807</xdr:colOff>
      <xdr:row>15</xdr:row>
      <xdr:rowOff>165602</xdr:rowOff>
    </xdr:from>
    <xdr:ext cx="224998" cy="213520"/>
    <xdr:sp macro="" textlink="$S$11">
      <xdr:nvSpPr>
        <xdr:cNvPr id="84" name="テキスト ボックス 83">
          <a:extLst>
            <a:ext uri="{FF2B5EF4-FFF2-40B4-BE49-F238E27FC236}">
              <a16:creationId xmlns:a16="http://schemas.microsoft.com/office/drawing/2014/main" id="{4BF6AA12-8FFA-49A1-9CCC-98F6FCE5DF16}"/>
            </a:ext>
          </a:extLst>
        </xdr:cNvPr>
        <xdr:cNvSpPr txBox="1"/>
      </xdr:nvSpPr>
      <xdr:spPr>
        <a:xfrm rot="16200000">
          <a:off x="6558346" y="3604103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64597</xdr:colOff>
      <xdr:row>24</xdr:row>
      <xdr:rowOff>184200</xdr:rowOff>
    </xdr:from>
    <xdr:to>
      <xdr:col>24</xdr:col>
      <xdr:colOff>95608</xdr:colOff>
      <xdr:row>25</xdr:row>
      <xdr:rowOff>49326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D235676-5346-461F-AE22-CB816515EBA7}"/>
            </a:ext>
          </a:extLst>
        </xdr:cNvPr>
        <xdr:cNvCxnSpPr/>
      </xdr:nvCxnSpPr>
      <xdr:spPr>
        <a:xfrm flipH="1">
          <a:off x="5550997" y="5685840"/>
          <a:ext cx="31011" cy="93726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23069</xdr:colOff>
      <xdr:row>15</xdr:row>
      <xdr:rowOff>200663</xdr:rowOff>
    </xdr:from>
    <xdr:to>
      <xdr:col>22</xdr:col>
      <xdr:colOff>23069</xdr:colOff>
      <xdr:row>20</xdr:row>
      <xdr:rowOff>41219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AB2A64D4-3DCD-4BD6-9923-0E096E81F7A9}"/>
            </a:ext>
          </a:extLst>
        </xdr:cNvPr>
        <xdr:cNvCxnSpPr/>
      </xdr:nvCxnSpPr>
      <xdr:spPr>
        <a:xfrm>
          <a:off x="5052269" y="3644903"/>
          <a:ext cx="0" cy="98355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197704</xdr:colOff>
      <xdr:row>20</xdr:row>
      <xdr:rowOff>39817</xdr:rowOff>
    </xdr:from>
    <xdr:to>
      <xdr:col>23</xdr:col>
      <xdr:colOff>141755</xdr:colOff>
      <xdr:row>20</xdr:row>
      <xdr:rowOff>39817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C5897933-4A95-4012-AE25-8C58520D9006}"/>
            </a:ext>
          </a:extLst>
        </xdr:cNvPr>
        <xdr:cNvCxnSpPr/>
      </xdr:nvCxnSpPr>
      <xdr:spPr>
        <a:xfrm>
          <a:off x="4998304" y="4627057"/>
          <a:ext cx="401251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176298</xdr:colOff>
      <xdr:row>20</xdr:row>
      <xdr:rowOff>42690</xdr:rowOff>
    </xdr:from>
    <xdr:to>
      <xdr:col>26</xdr:col>
      <xdr:colOff>88375</xdr:colOff>
      <xdr:row>20</xdr:row>
      <xdr:rowOff>42690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C892354-7278-456C-ACC0-A8E83678A99C}"/>
            </a:ext>
          </a:extLst>
        </xdr:cNvPr>
        <xdr:cNvCxnSpPr/>
      </xdr:nvCxnSpPr>
      <xdr:spPr>
        <a:xfrm>
          <a:off x="5891298" y="4629930"/>
          <a:ext cx="140677" cy="0"/>
        </a:xfrm>
        <a:prstGeom prst="line">
          <a:avLst/>
        </a:prstGeom>
        <a:ln w="12700">
          <a:solidFill>
            <a:srgbClr val="FF0000"/>
          </a:solidFill>
          <a:headEnd type="triangle" w="sm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57764</xdr:colOff>
      <xdr:row>19</xdr:row>
      <xdr:rowOff>122280</xdr:rowOff>
    </xdr:from>
    <xdr:ext cx="302199" cy="224998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59496BDA-09A0-43C5-9FC6-10D247127707}"/>
            </a:ext>
          </a:extLst>
        </xdr:cNvPr>
        <xdr:cNvSpPr txBox="1"/>
      </xdr:nvSpPr>
      <xdr:spPr>
        <a:xfrm>
          <a:off x="6001364" y="4480920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36205</xdr:colOff>
      <xdr:row>17</xdr:row>
      <xdr:rowOff>127543</xdr:rowOff>
    </xdr:from>
    <xdr:ext cx="224998" cy="292581"/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310D15E5-52A1-4B74-87CD-24C1320D3F67}"/>
            </a:ext>
          </a:extLst>
        </xdr:cNvPr>
        <xdr:cNvSpPr txBox="1"/>
      </xdr:nvSpPr>
      <xdr:spPr>
        <a:xfrm rot="16200000">
          <a:off x="4803013" y="4062775"/>
          <a:ext cx="29258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26</xdr:col>
      <xdr:colOff>31639</xdr:colOff>
      <xdr:row>18</xdr:row>
      <xdr:rowOff>226071</xdr:rowOff>
    </xdr:from>
    <xdr:to>
      <xdr:col>27</xdr:col>
      <xdr:colOff>38042</xdr:colOff>
      <xdr:row>19</xdr:row>
      <xdr:rowOff>13299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63A10759-BC38-4B2D-9782-ED7A2D85B41E}"/>
            </a:ext>
          </a:extLst>
        </xdr:cNvPr>
        <xdr:cNvCxnSpPr/>
      </xdr:nvCxnSpPr>
      <xdr:spPr>
        <a:xfrm flipV="1">
          <a:off x="5975239" y="4356111"/>
          <a:ext cx="235003" cy="15828"/>
        </a:xfrm>
        <a:prstGeom prst="line">
          <a:avLst/>
        </a:prstGeom>
        <a:ln w="25400">
          <a:solidFill>
            <a:srgbClr val="FF0000"/>
          </a:solidFill>
          <a:headEnd type="triangle" w="med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223099</xdr:colOff>
      <xdr:row>18</xdr:row>
      <xdr:rowOff>96282</xdr:rowOff>
    </xdr:from>
    <xdr:ext cx="315023" cy="224998"/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B55DA98D-0483-407A-BC3E-3453B499FB6E}"/>
            </a:ext>
          </a:extLst>
        </xdr:cNvPr>
        <xdr:cNvSpPr txBox="1"/>
      </xdr:nvSpPr>
      <xdr:spPr>
        <a:xfrm>
          <a:off x="6166699" y="4226322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34098</xdr:colOff>
      <xdr:row>18</xdr:row>
      <xdr:rowOff>5456</xdr:rowOff>
    </xdr:from>
    <xdr:to>
      <xdr:col>26</xdr:col>
      <xdr:colOff>34098</xdr:colOff>
      <xdr:row>18</xdr:row>
      <xdr:rowOff>192321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2458FC2F-7E03-4773-B839-0EB83C644A96}"/>
            </a:ext>
          </a:extLst>
        </xdr:cNvPr>
        <xdr:cNvCxnSpPr/>
      </xdr:nvCxnSpPr>
      <xdr:spPr>
        <a:xfrm>
          <a:off x="5977698" y="4135496"/>
          <a:ext cx="0" cy="18686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218179</xdr:colOff>
      <xdr:row>20</xdr:row>
      <xdr:rowOff>15288</xdr:rowOff>
    </xdr:from>
    <xdr:to>
      <xdr:col>24</xdr:col>
      <xdr:colOff>41244</xdr:colOff>
      <xdr:row>20</xdr:row>
      <xdr:rowOff>72727</xdr:rowOff>
    </xdr:to>
    <xdr:sp macro="" textlink="">
      <xdr:nvSpPr>
        <xdr:cNvPr id="94" name="楕円 93">
          <a:extLst>
            <a:ext uri="{FF2B5EF4-FFF2-40B4-BE49-F238E27FC236}">
              <a16:creationId xmlns:a16="http://schemas.microsoft.com/office/drawing/2014/main" id="{D95E2A63-BD5F-4448-B273-41E1ECB149E6}"/>
            </a:ext>
          </a:extLst>
        </xdr:cNvPr>
        <xdr:cNvSpPr/>
      </xdr:nvSpPr>
      <xdr:spPr>
        <a:xfrm>
          <a:off x="5475979" y="4602528"/>
          <a:ext cx="51665" cy="57439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22</xdr:col>
      <xdr:colOff>126095</xdr:colOff>
      <xdr:row>25</xdr:row>
      <xdr:rowOff>93740</xdr:rowOff>
    </xdr:from>
    <xdr:to>
      <xdr:col>22</xdr:col>
      <xdr:colOff>126095</xdr:colOff>
      <xdr:row>26</xdr:row>
      <xdr:rowOff>50560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C2E0CC2E-5636-4C4E-9EF4-401777658EDB}"/>
            </a:ext>
          </a:extLst>
        </xdr:cNvPr>
        <xdr:cNvCxnSpPr/>
      </xdr:nvCxnSpPr>
      <xdr:spPr>
        <a:xfrm>
          <a:off x="5155295" y="5823980"/>
          <a:ext cx="0" cy="18542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179945</xdr:colOff>
      <xdr:row>9</xdr:row>
      <xdr:rowOff>100383</xdr:rowOff>
    </xdr:from>
    <xdr:to>
      <xdr:col>64</xdr:col>
      <xdr:colOff>82422</xdr:colOff>
      <xdr:row>18</xdr:row>
      <xdr:rowOff>97964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19A73CB1-7027-4B91-BF74-ACEC6405F880}"/>
            </a:ext>
          </a:extLst>
        </xdr:cNvPr>
        <xdr:cNvCxnSpPr/>
      </xdr:nvCxnSpPr>
      <xdr:spPr>
        <a:xfrm flipH="1">
          <a:off x="14124545" y="1487223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146154</xdr:colOff>
      <xdr:row>9</xdr:row>
      <xdr:rowOff>128365</xdr:rowOff>
    </xdr:from>
    <xdr:to>
      <xdr:col>64</xdr:col>
      <xdr:colOff>115065</xdr:colOff>
      <xdr:row>14</xdr:row>
      <xdr:rowOff>104183</xdr:rowOff>
    </xdr:to>
    <xdr:sp macro="" textlink="">
      <xdr:nvSpPr>
        <xdr:cNvPr id="97" name="直角三角形 96">
          <a:extLst>
            <a:ext uri="{FF2B5EF4-FFF2-40B4-BE49-F238E27FC236}">
              <a16:creationId xmlns:a16="http://schemas.microsoft.com/office/drawing/2014/main" id="{2C4EFCDB-0B65-445C-AA59-45551D49C094}"/>
            </a:ext>
          </a:extLst>
        </xdr:cNvPr>
        <xdr:cNvSpPr/>
      </xdr:nvSpPr>
      <xdr:spPr>
        <a:xfrm rot="11760000" flipH="1">
          <a:off x="14547954" y="1515205"/>
          <a:ext cx="197511" cy="11188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58</xdr:col>
      <xdr:colOff>68865</xdr:colOff>
      <xdr:row>10</xdr:row>
      <xdr:rowOff>26027</xdr:rowOff>
    </xdr:from>
    <xdr:ext cx="224998" cy="290464"/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FD335B73-2BDE-4BCB-9F15-CE131DBDC507}"/>
            </a:ext>
          </a:extLst>
        </xdr:cNvPr>
        <xdr:cNvSpPr txBox="1"/>
      </xdr:nvSpPr>
      <xdr:spPr>
        <a:xfrm rot="16200000">
          <a:off x="13294932" y="1674200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61</xdr:col>
      <xdr:colOff>199220</xdr:colOff>
      <xdr:row>7</xdr:row>
      <xdr:rowOff>196784</xdr:rowOff>
    </xdr:from>
    <xdr:ext cx="336311" cy="224998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69FDEE51-E0A2-4756-8C0B-09F414A7A72D}"/>
            </a:ext>
          </a:extLst>
        </xdr:cNvPr>
        <xdr:cNvSpPr txBox="1"/>
      </xdr:nvSpPr>
      <xdr:spPr>
        <a:xfrm>
          <a:off x="14143820" y="1111184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7960</xdr:colOff>
      <xdr:row>9</xdr:row>
      <xdr:rowOff>99804</xdr:rowOff>
    </xdr:from>
    <xdr:to>
      <xdr:col>60</xdr:col>
      <xdr:colOff>154785</xdr:colOff>
      <xdr:row>9</xdr:row>
      <xdr:rowOff>99804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AEEA8E9D-ED09-404B-AFCA-D95927DC7EC3}"/>
            </a:ext>
          </a:extLst>
        </xdr:cNvPr>
        <xdr:cNvCxnSpPr/>
      </xdr:nvCxnSpPr>
      <xdr:spPr>
        <a:xfrm>
          <a:off x="13495360" y="1486644"/>
          <a:ext cx="375425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51470</xdr:colOff>
      <xdr:row>9</xdr:row>
      <xdr:rowOff>110196</xdr:rowOff>
    </xdr:from>
    <xdr:to>
      <xdr:col>59</xdr:col>
      <xdr:colOff>51470</xdr:colOff>
      <xdr:row>12</xdr:row>
      <xdr:rowOff>87927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448B1B74-D15C-4A46-857A-86AC19A080D4}"/>
            </a:ext>
          </a:extLst>
        </xdr:cNvPr>
        <xdr:cNvCxnSpPr/>
      </xdr:nvCxnSpPr>
      <xdr:spPr>
        <a:xfrm>
          <a:off x="13538870" y="1497036"/>
          <a:ext cx="0" cy="6635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143782</xdr:colOff>
      <xdr:row>8</xdr:row>
      <xdr:rowOff>137681</xdr:rowOff>
    </xdr:from>
    <xdr:to>
      <xdr:col>62</xdr:col>
      <xdr:colOff>143782</xdr:colOff>
      <xdr:row>9</xdr:row>
      <xdr:rowOff>55906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E146ADD0-AAF8-48BE-A95A-0144803E96EE}"/>
            </a:ext>
          </a:extLst>
        </xdr:cNvPr>
        <xdr:cNvCxnSpPr/>
      </xdr:nvCxnSpPr>
      <xdr:spPr>
        <a:xfrm>
          <a:off x="14316982" y="1280681"/>
          <a:ext cx="0" cy="16206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2135</xdr:colOff>
      <xdr:row>12</xdr:row>
      <xdr:rowOff>79964</xdr:rowOff>
    </xdr:from>
    <xdr:to>
      <xdr:col>61</xdr:col>
      <xdr:colOff>128766</xdr:colOff>
      <xdr:row>12</xdr:row>
      <xdr:rowOff>79964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C8908862-1DEE-4E1F-8A99-1B956336125A}"/>
            </a:ext>
          </a:extLst>
        </xdr:cNvPr>
        <xdr:cNvCxnSpPr/>
      </xdr:nvCxnSpPr>
      <xdr:spPr>
        <a:xfrm>
          <a:off x="13489535" y="2152604"/>
          <a:ext cx="583831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73192</xdr:colOff>
      <xdr:row>8</xdr:row>
      <xdr:rowOff>137681</xdr:rowOff>
    </xdr:from>
    <xdr:to>
      <xdr:col>64</xdr:col>
      <xdr:colOff>73192</xdr:colOff>
      <xdr:row>9</xdr:row>
      <xdr:rowOff>55906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38CA7C63-73D9-4B93-B999-A6FC65B64B7C}"/>
            </a:ext>
          </a:extLst>
        </xdr:cNvPr>
        <xdr:cNvCxnSpPr/>
      </xdr:nvCxnSpPr>
      <xdr:spPr>
        <a:xfrm>
          <a:off x="14703592" y="1280681"/>
          <a:ext cx="0" cy="16206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143296</xdr:colOff>
      <xdr:row>8</xdr:row>
      <xdr:rowOff>175076</xdr:rowOff>
    </xdr:from>
    <xdr:to>
      <xdr:col>64</xdr:col>
      <xdr:colOff>73009</xdr:colOff>
      <xdr:row>8</xdr:row>
      <xdr:rowOff>175076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FCA36FE4-06C4-4709-9C30-6C67B4D42593}"/>
            </a:ext>
          </a:extLst>
        </xdr:cNvPr>
        <xdr:cNvCxnSpPr/>
      </xdr:nvCxnSpPr>
      <xdr:spPr>
        <a:xfrm>
          <a:off x="14316496" y="1318076"/>
          <a:ext cx="3869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106738</xdr:colOff>
      <xdr:row>19</xdr:row>
      <xdr:rowOff>55912</xdr:rowOff>
    </xdr:from>
    <xdr:ext cx="349135" cy="224998"/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D9B7FC1A-03C8-4D7A-B724-5C8BCDC99ADC}"/>
            </a:ext>
          </a:extLst>
        </xdr:cNvPr>
        <xdr:cNvSpPr txBox="1"/>
      </xdr:nvSpPr>
      <xdr:spPr>
        <a:xfrm>
          <a:off x="13594138" y="3728752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174749</xdr:colOff>
      <xdr:row>19</xdr:row>
      <xdr:rowOff>88615</xdr:rowOff>
    </xdr:from>
    <xdr:to>
      <xdr:col>61</xdr:col>
      <xdr:colOff>207635</xdr:colOff>
      <xdr:row>19</xdr:row>
      <xdr:rowOff>88615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695298E-FB4E-49A8-8917-DB158A9B7050}"/>
            </a:ext>
          </a:extLst>
        </xdr:cNvPr>
        <xdr:cNvCxnSpPr/>
      </xdr:nvCxnSpPr>
      <xdr:spPr>
        <a:xfrm>
          <a:off x="13662149" y="3761455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176701</xdr:colOff>
      <xdr:row>19</xdr:row>
      <xdr:rowOff>24243</xdr:rowOff>
    </xdr:from>
    <xdr:to>
      <xdr:col>59</xdr:col>
      <xdr:colOff>176701</xdr:colOff>
      <xdr:row>19</xdr:row>
      <xdr:rowOff>134882</xdr:rowOff>
    </xdr:to>
    <xdr:cxnSp macro="">
      <xdr:nvCxnSpPr>
        <xdr:cNvPr id="108" name="直線コネクタ 107">
          <a:extLst>
            <a:ext uri="{FF2B5EF4-FFF2-40B4-BE49-F238E27FC236}">
              <a16:creationId xmlns:a16="http://schemas.microsoft.com/office/drawing/2014/main" id="{D12B3A1B-43E3-4EBC-A119-C24CFC9575D8}"/>
            </a:ext>
          </a:extLst>
        </xdr:cNvPr>
        <xdr:cNvCxnSpPr/>
      </xdr:nvCxnSpPr>
      <xdr:spPr>
        <a:xfrm>
          <a:off x="13664101" y="3697083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218241</xdr:colOff>
      <xdr:row>19</xdr:row>
      <xdr:rowOff>13852</xdr:rowOff>
    </xdr:from>
    <xdr:to>
      <xdr:col>61</xdr:col>
      <xdr:colOff>218241</xdr:colOff>
      <xdr:row>19</xdr:row>
      <xdr:rowOff>122623</xdr:rowOff>
    </xdr:to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942BDC27-E274-4260-8E43-667B5CDA11FB}"/>
            </a:ext>
          </a:extLst>
        </xdr:cNvPr>
        <xdr:cNvCxnSpPr/>
      </xdr:nvCxnSpPr>
      <xdr:spPr>
        <a:xfrm>
          <a:off x="14162841" y="3686692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47989</xdr:colOff>
      <xdr:row>10</xdr:row>
      <xdr:rowOff>14287</xdr:rowOff>
    </xdr:from>
    <xdr:to>
      <xdr:col>68</xdr:col>
      <xdr:colOff>106649</xdr:colOff>
      <xdr:row>10</xdr:row>
      <xdr:rowOff>159010</xdr:rowOff>
    </xdr:to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EF9A8AD4-88A9-4B3F-949B-4E04FA420679}"/>
            </a:ext>
          </a:extLst>
        </xdr:cNvPr>
        <xdr:cNvCxnSpPr/>
      </xdr:nvCxnSpPr>
      <xdr:spPr>
        <a:xfrm>
          <a:off x="15135589" y="1629727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103782</xdr:colOff>
      <xdr:row>10</xdr:row>
      <xdr:rowOff>136064</xdr:rowOff>
    </xdr:from>
    <xdr:to>
      <xdr:col>68</xdr:col>
      <xdr:colOff>35223</xdr:colOff>
      <xdr:row>19</xdr:row>
      <xdr:rowOff>220087</xdr:rowOff>
    </xdr:to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23BA17BD-A8FA-40B1-9FBF-EB683FD77D90}"/>
            </a:ext>
          </a:extLst>
        </xdr:cNvPr>
        <xdr:cNvCxnSpPr/>
      </xdr:nvCxnSpPr>
      <xdr:spPr>
        <a:xfrm flipH="1">
          <a:off x="14962782" y="1751504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115514</xdr:colOff>
      <xdr:row>19</xdr:row>
      <xdr:rowOff>85956</xdr:rowOff>
    </xdr:from>
    <xdr:to>
      <xdr:col>65</xdr:col>
      <xdr:colOff>109843</xdr:colOff>
      <xdr:row>19</xdr:row>
      <xdr:rowOff>215429</xdr:rowOff>
    </xdr:to>
    <xdr:cxnSp macro="">
      <xdr:nvCxnSpPr>
        <xdr:cNvPr id="112" name="直線コネクタ 111">
          <a:extLst>
            <a:ext uri="{FF2B5EF4-FFF2-40B4-BE49-F238E27FC236}">
              <a16:creationId xmlns:a16="http://schemas.microsoft.com/office/drawing/2014/main" id="{3140999C-DD20-414C-B4C6-1B9143B05817}"/>
            </a:ext>
          </a:extLst>
        </xdr:cNvPr>
        <xdr:cNvCxnSpPr/>
      </xdr:nvCxnSpPr>
      <xdr:spPr>
        <a:xfrm>
          <a:off x="14517314" y="3758796"/>
          <a:ext cx="451529" cy="12947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66</xdr:col>
      <xdr:colOff>150715</xdr:colOff>
      <xdr:row>14</xdr:row>
      <xdr:rowOff>204882</xdr:rowOff>
    </xdr:from>
    <xdr:ext cx="242374" cy="271228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F0F1ECC4-5661-4F12-ACF4-CB6E33BADB46}"/>
            </a:ext>
          </a:extLst>
        </xdr:cNvPr>
        <xdr:cNvSpPr txBox="1"/>
      </xdr:nvSpPr>
      <xdr:spPr>
        <a:xfrm rot="17220000">
          <a:off x="15223888" y="2749149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65</xdr:col>
      <xdr:colOff>133133</xdr:colOff>
      <xdr:row>12</xdr:row>
      <xdr:rowOff>109001</xdr:rowOff>
    </xdr:from>
    <xdr:ext cx="242374" cy="582980"/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02CBD99D-303A-42E7-A0FE-1E9166970E09}"/>
            </a:ext>
          </a:extLst>
        </xdr:cNvPr>
        <xdr:cNvSpPr txBox="1"/>
      </xdr:nvSpPr>
      <xdr:spPr>
        <a:xfrm rot="17233223">
          <a:off x="14821830" y="2351944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96585</xdr:colOff>
      <xdr:row>17</xdr:row>
      <xdr:rowOff>82060</xdr:rowOff>
    </xdr:from>
    <xdr:ext cx="242374" cy="305853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4BF8A7D8-1F95-4C61-ADC0-0EADE9194A35}"/>
            </a:ext>
          </a:extLst>
        </xdr:cNvPr>
        <xdr:cNvSpPr txBox="1"/>
      </xdr:nvSpPr>
      <xdr:spPr>
        <a:xfrm rot="17233223">
          <a:off x="14695245" y="3329440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17424</xdr:colOff>
      <xdr:row>15</xdr:row>
      <xdr:rowOff>2631</xdr:rowOff>
    </xdr:from>
    <xdr:to>
      <xdr:col>65</xdr:col>
      <xdr:colOff>91210</xdr:colOff>
      <xdr:row>19</xdr:row>
      <xdr:rowOff>120873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938BDE81-744C-4572-B5D7-62DFCFFA5987}"/>
            </a:ext>
          </a:extLst>
        </xdr:cNvPr>
        <xdr:cNvCxnSpPr/>
      </xdr:nvCxnSpPr>
      <xdr:spPr>
        <a:xfrm flipH="1">
          <a:off x="14647824" y="2761071"/>
          <a:ext cx="302386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93801</xdr:colOff>
      <xdr:row>10</xdr:row>
      <xdr:rowOff>67041</xdr:rowOff>
    </xdr:from>
    <xdr:to>
      <xdr:col>66</xdr:col>
      <xdr:colOff>172384</xdr:colOff>
      <xdr:row>15</xdr:row>
      <xdr:rowOff>5260</xdr:rowOff>
    </xdr:to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A404560D-0550-4D6A-8CB2-165CD84E0459}"/>
            </a:ext>
          </a:extLst>
        </xdr:cNvPr>
        <xdr:cNvCxnSpPr/>
      </xdr:nvCxnSpPr>
      <xdr:spPr>
        <a:xfrm flipH="1">
          <a:off x="14952801" y="1682481"/>
          <a:ext cx="307183" cy="108121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163957</xdr:colOff>
      <xdr:row>14</xdr:row>
      <xdr:rowOff>184878</xdr:rowOff>
    </xdr:from>
    <xdr:to>
      <xdr:col>65</xdr:col>
      <xdr:colOff>185477</xdr:colOff>
      <xdr:row>15</xdr:row>
      <xdr:rowOff>22174</xdr:rowOff>
    </xdr:to>
    <xdr:cxnSp macro="">
      <xdr:nvCxnSpPr>
        <xdr:cNvPr id="118" name="直線コネクタ 117">
          <a:extLst>
            <a:ext uri="{FF2B5EF4-FFF2-40B4-BE49-F238E27FC236}">
              <a16:creationId xmlns:a16="http://schemas.microsoft.com/office/drawing/2014/main" id="{6E4AEDAB-0C20-4921-B454-9792CA798A76}"/>
            </a:ext>
          </a:extLst>
        </xdr:cNvPr>
        <xdr:cNvCxnSpPr/>
      </xdr:nvCxnSpPr>
      <xdr:spPr>
        <a:xfrm>
          <a:off x="14794357" y="2714718"/>
          <a:ext cx="250120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138257</xdr:colOff>
      <xdr:row>10</xdr:row>
      <xdr:rowOff>197743</xdr:rowOff>
    </xdr:from>
    <xdr:to>
      <xdr:col>64</xdr:col>
      <xdr:colOff>202205</xdr:colOff>
      <xdr:row>12</xdr:row>
      <xdr:rowOff>8336</xdr:rowOff>
    </xdr:to>
    <xdr:sp macro="" textlink="">
      <xdr:nvSpPr>
        <xdr:cNvPr id="119" name="円弧 118">
          <a:extLst>
            <a:ext uri="{FF2B5EF4-FFF2-40B4-BE49-F238E27FC236}">
              <a16:creationId xmlns:a16="http://schemas.microsoft.com/office/drawing/2014/main" id="{CC844974-A4A7-406B-A2E7-3C0167733B73}"/>
            </a:ext>
          </a:extLst>
        </xdr:cNvPr>
        <xdr:cNvSpPr/>
      </xdr:nvSpPr>
      <xdr:spPr>
        <a:xfrm rot="11917365">
          <a:off x="14540057" y="1813183"/>
          <a:ext cx="292548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64</xdr:col>
      <xdr:colOff>71932</xdr:colOff>
      <xdr:row>9</xdr:row>
      <xdr:rowOff>97899</xdr:rowOff>
    </xdr:from>
    <xdr:to>
      <xdr:col>64</xdr:col>
      <xdr:colOff>71932</xdr:colOff>
      <xdr:row>12</xdr:row>
      <xdr:rowOff>75187</xdr:rowOff>
    </xdr:to>
    <xdr:cxnSp macro="">
      <xdr:nvCxnSpPr>
        <xdr:cNvPr id="120" name="直線コネクタ 119">
          <a:extLst>
            <a:ext uri="{FF2B5EF4-FFF2-40B4-BE49-F238E27FC236}">
              <a16:creationId xmlns:a16="http://schemas.microsoft.com/office/drawing/2014/main" id="{3B3E6B34-B608-4DA5-ABAF-C49E22CB20F0}"/>
            </a:ext>
          </a:extLst>
        </xdr:cNvPr>
        <xdr:cNvCxnSpPr/>
      </xdr:nvCxnSpPr>
      <xdr:spPr>
        <a:xfrm>
          <a:off x="14702332" y="1484739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15743</xdr:colOff>
      <xdr:row>11</xdr:row>
      <xdr:rowOff>166743</xdr:rowOff>
    </xdr:from>
    <xdr:ext cx="365165" cy="242374"/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FDCD15AD-0867-4EA6-B0D6-81D399F8F61D}"/>
            </a:ext>
          </a:extLst>
        </xdr:cNvPr>
        <xdr:cNvSpPr txBox="1"/>
      </xdr:nvSpPr>
      <xdr:spPr>
        <a:xfrm>
          <a:off x="14646143" y="2010783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219617</xdr:colOff>
      <xdr:row>11</xdr:row>
      <xdr:rowOff>162041</xdr:rowOff>
    </xdr:from>
    <xdr:ext cx="386644" cy="224998"/>
    <xdr:sp macro="" textlink="$AZ$10">
      <xdr:nvSpPr>
        <xdr:cNvPr id="122" name="テキスト ボックス 121">
          <a:extLst>
            <a:ext uri="{FF2B5EF4-FFF2-40B4-BE49-F238E27FC236}">
              <a16:creationId xmlns:a16="http://schemas.microsoft.com/office/drawing/2014/main" id="{BCF51F0E-C548-4711-933D-F2E42EB1754F}"/>
            </a:ext>
          </a:extLst>
        </xdr:cNvPr>
        <xdr:cNvSpPr txBox="1"/>
      </xdr:nvSpPr>
      <xdr:spPr>
        <a:xfrm>
          <a:off x="14850017" y="2006081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5008533-81D9-4B6A-A0C7-B8E8E95A43D1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209563</xdr:colOff>
      <xdr:row>8</xdr:row>
      <xdr:rowOff>230324</xdr:rowOff>
    </xdr:from>
    <xdr:ext cx="370486" cy="224998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7F94B6C2-9743-42BA-9FF6-688E79F81271}"/>
            </a:ext>
          </a:extLst>
        </xdr:cNvPr>
        <xdr:cNvSpPr txBox="1"/>
      </xdr:nvSpPr>
      <xdr:spPr>
        <a:xfrm rot="1181880">
          <a:off x="14839963" y="1373324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151778</xdr:colOff>
      <xdr:row>11</xdr:row>
      <xdr:rowOff>27605</xdr:rowOff>
    </xdr:from>
    <xdr:ext cx="396134" cy="224998"/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47082B04-AB85-402D-BBA4-09C13B3B662A}"/>
            </a:ext>
          </a:extLst>
        </xdr:cNvPr>
        <xdr:cNvSpPr txBox="1"/>
      </xdr:nvSpPr>
      <xdr:spPr>
        <a:xfrm>
          <a:off x="14782178" y="1871645"/>
          <a:ext cx="3961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214294</xdr:colOff>
      <xdr:row>10</xdr:row>
      <xdr:rowOff>227370</xdr:rowOff>
    </xdr:from>
    <xdr:to>
      <xdr:col>65</xdr:col>
      <xdr:colOff>23399</xdr:colOff>
      <xdr:row>11</xdr:row>
      <xdr:rowOff>75131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C301A47A-084D-454C-A810-16FE1878EEC7}"/>
            </a:ext>
          </a:extLst>
        </xdr:cNvPr>
        <xdr:cNvCxnSpPr/>
      </xdr:nvCxnSpPr>
      <xdr:spPr>
        <a:xfrm flipH="1" flipV="1">
          <a:off x="14616094" y="1842810"/>
          <a:ext cx="266305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178286</xdr:colOff>
      <xdr:row>7</xdr:row>
      <xdr:rowOff>196784</xdr:rowOff>
    </xdr:from>
    <xdr:ext cx="444352" cy="224998"/>
    <xdr:sp macro="" textlink="'1.設計条件'!T7">
      <xdr:nvSpPr>
        <xdr:cNvPr id="126" name="テキスト ボックス 125">
          <a:extLst>
            <a:ext uri="{FF2B5EF4-FFF2-40B4-BE49-F238E27FC236}">
              <a16:creationId xmlns:a16="http://schemas.microsoft.com/office/drawing/2014/main" id="{56A032B6-F415-4755-BC0E-E4FDBE84FE8B}"/>
            </a:ext>
          </a:extLst>
        </xdr:cNvPr>
        <xdr:cNvSpPr txBox="1"/>
      </xdr:nvSpPr>
      <xdr:spPr>
        <a:xfrm>
          <a:off x="14351486" y="111118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60</xdr:col>
      <xdr:colOff>80189</xdr:colOff>
      <xdr:row>19</xdr:row>
      <xdr:rowOff>47287</xdr:rowOff>
    </xdr:from>
    <xdr:ext cx="444352" cy="224998"/>
    <xdr:sp macro="" textlink="'1.設計条件'!T9">
      <xdr:nvSpPr>
        <xdr:cNvPr id="127" name="テキスト ボックス 126">
          <a:extLst>
            <a:ext uri="{FF2B5EF4-FFF2-40B4-BE49-F238E27FC236}">
              <a16:creationId xmlns:a16="http://schemas.microsoft.com/office/drawing/2014/main" id="{0941FDE2-3B9A-484E-8920-CA7773B1111F}"/>
            </a:ext>
          </a:extLst>
        </xdr:cNvPr>
        <xdr:cNvSpPr txBox="1"/>
      </xdr:nvSpPr>
      <xdr:spPr>
        <a:xfrm>
          <a:off x="13796189" y="37201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62</xdr:col>
      <xdr:colOff>148500</xdr:colOff>
      <xdr:row>9</xdr:row>
      <xdr:rowOff>99124</xdr:rowOff>
    </xdr:from>
    <xdr:to>
      <xdr:col>64</xdr:col>
      <xdr:colOff>82945</xdr:colOff>
      <xdr:row>9</xdr:row>
      <xdr:rowOff>99124</xdr:rowOff>
    </xdr:to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3B8BBFAA-F280-4D45-BBF5-688DC904353F}"/>
            </a:ext>
          </a:extLst>
        </xdr:cNvPr>
        <xdr:cNvCxnSpPr/>
      </xdr:nvCxnSpPr>
      <xdr:spPr>
        <a:xfrm>
          <a:off x="14321700" y="1485964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15407</xdr:colOff>
      <xdr:row>9</xdr:row>
      <xdr:rowOff>95620</xdr:rowOff>
    </xdr:from>
    <xdr:to>
      <xdr:col>62</xdr:col>
      <xdr:colOff>147733</xdr:colOff>
      <xdr:row>18</xdr:row>
      <xdr:rowOff>97555</xdr:rowOff>
    </xdr:to>
    <xdr:cxnSp macro="">
      <xdr:nvCxnSpPr>
        <xdr:cNvPr id="129" name="直線コネクタ 128">
          <a:extLst>
            <a:ext uri="{FF2B5EF4-FFF2-40B4-BE49-F238E27FC236}">
              <a16:creationId xmlns:a16="http://schemas.microsoft.com/office/drawing/2014/main" id="{A820FEB3-D0E5-4179-A4F6-CA043ECC63D6}"/>
            </a:ext>
          </a:extLst>
        </xdr:cNvPr>
        <xdr:cNvCxnSpPr/>
      </xdr:nvCxnSpPr>
      <xdr:spPr>
        <a:xfrm flipH="1">
          <a:off x="13731407" y="1482460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201859</xdr:colOff>
      <xdr:row>18</xdr:row>
      <xdr:rowOff>101909</xdr:rowOff>
    </xdr:from>
    <xdr:to>
      <xdr:col>61</xdr:col>
      <xdr:colOff>208305</xdr:colOff>
      <xdr:row>18</xdr:row>
      <xdr:rowOff>209909</xdr:rowOff>
    </xdr:to>
    <xdr:sp macro="" textlink="">
      <xdr:nvSpPr>
        <xdr:cNvPr id="130" name="正方形/長方形 129">
          <a:extLst>
            <a:ext uri="{FF2B5EF4-FFF2-40B4-BE49-F238E27FC236}">
              <a16:creationId xmlns:a16="http://schemas.microsoft.com/office/drawing/2014/main" id="{EAA073CA-02DB-4F6B-BC60-D9A2A6481A5C}"/>
            </a:ext>
          </a:extLst>
        </xdr:cNvPr>
        <xdr:cNvSpPr/>
      </xdr:nvSpPr>
      <xdr:spPr>
        <a:xfrm>
          <a:off x="13689259" y="3546149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61</xdr:col>
      <xdr:colOff>88096</xdr:colOff>
      <xdr:row>9</xdr:row>
      <xdr:rowOff>222597</xdr:rowOff>
    </xdr:from>
    <xdr:to>
      <xdr:col>63</xdr:col>
      <xdr:colOff>186235</xdr:colOff>
      <xdr:row>18</xdr:row>
      <xdr:rowOff>97964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3DBD25FF-E526-40F2-94F6-26D27CB5E40B}"/>
            </a:ext>
          </a:extLst>
        </xdr:cNvPr>
        <xdr:cNvCxnSpPr/>
      </xdr:nvCxnSpPr>
      <xdr:spPr>
        <a:xfrm flipH="1">
          <a:off x="14032696" y="1609437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118018</xdr:colOff>
      <xdr:row>16</xdr:row>
      <xdr:rowOff>203627</xdr:rowOff>
    </xdr:from>
    <xdr:to>
      <xdr:col>61</xdr:col>
      <xdr:colOff>193152</xdr:colOff>
      <xdr:row>16</xdr:row>
      <xdr:rowOff>203627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8B1C054E-0C0D-4404-B86E-AF9131084C7C}"/>
            </a:ext>
          </a:extLst>
        </xdr:cNvPr>
        <xdr:cNvCxnSpPr/>
      </xdr:nvCxnSpPr>
      <xdr:spPr>
        <a:xfrm>
          <a:off x="13834018" y="3190667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218167</xdr:colOff>
      <xdr:row>15</xdr:row>
      <xdr:rowOff>90415</xdr:rowOff>
    </xdr:from>
    <xdr:to>
      <xdr:col>62</xdr:col>
      <xdr:colOff>62524</xdr:colOff>
      <xdr:row>15</xdr:row>
      <xdr:rowOff>90415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28D01A5B-5CD0-4079-9669-3D30710D27ED}"/>
            </a:ext>
          </a:extLst>
        </xdr:cNvPr>
        <xdr:cNvCxnSpPr/>
      </xdr:nvCxnSpPr>
      <xdr:spPr>
        <a:xfrm>
          <a:off x="13934167" y="2848855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83184</xdr:colOff>
      <xdr:row>13</xdr:row>
      <xdr:rowOff>199273</xdr:rowOff>
    </xdr:from>
    <xdr:to>
      <xdr:col>62</xdr:col>
      <xdr:colOff>158318</xdr:colOff>
      <xdr:row>13</xdr:row>
      <xdr:rowOff>199273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6544935-F661-4B9F-BABB-1CB2018C6A1B}"/>
            </a:ext>
          </a:extLst>
        </xdr:cNvPr>
        <xdr:cNvCxnSpPr/>
      </xdr:nvCxnSpPr>
      <xdr:spPr>
        <a:xfrm>
          <a:off x="14027784" y="2500513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187687</xdr:colOff>
      <xdr:row>12</xdr:row>
      <xdr:rowOff>75175</xdr:rowOff>
    </xdr:from>
    <xdr:to>
      <xdr:col>63</xdr:col>
      <xdr:colOff>40571</xdr:colOff>
      <xdr:row>12</xdr:row>
      <xdr:rowOff>75175</xdr:rowOff>
    </xdr:to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8F076B31-B8FB-41A6-A72E-EC3916F86AAE}"/>
            </a:ext>
          </a:extLst>
        </xdr:cNvPr>
        <xdr:cNvCxnSpPr/>
      </xdr:nvCxnSpPr>
      <xdr:spPr>
        <a:xfrm>
          <a:off x="14132287" y="214781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65767</xdr:colOff>
      <xdr:row>10</xdr:row>
      <xdr:rowOff>186209</xdr:rowOff>
    </xdr:from>
    <xdr:to>
      <xdr:col>63</xdr:col>
      <xdr:colOff>140901</xdr:colOff>
      <xdr:row>10</xdr:row>
      <xdr:rowOff>186209</xdr:rowOff>
    </xdr:to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8505A37E-1B49-4CD9-A149-935561A76574}"/>
            </a:ext>
          </a:extLst>
        </xdr:cNvPr>
        <xdr:cNvCxnSpPr/>
      </xdr:nvCxnSpPr>
      <xdr:spPr>
        <a:xfrm>
          <a:off x="14238967" y="1801649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104547</xdr:colOff>
      <xdr:row>9</xdr:row>
      <xdr:rowOff>217098</xdr:rowOff>
    </xdr:from>
    <xdr:to>
      <xdr:col>64</xdr:col>
      <xdr:colOff>55448</xdr:colOff>
      <xdr:row>9</xdr:row>
      <xdr:rowOff>217098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AC83CD40-D6C1-4AC0-BF99-71239274243B}"/>
            </a:ext>
          </a:extLst>
        </xdr:cNvPr>
        <xdr:cNvCxnSpPr/>
      </xdr:nvCxnSpPr>
      <xdr:spPr>
        <a:xfrm>
          <a:off x="14277747" y="1603938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167645</xdr:colOff>
      <xdr:row>11</xdr:row>
      <xdr:rowOff>19081</xdr:rowOff>
    </xdr:from>
    <xdr:ext cx="444352" cy="224998"/>
    <xdr:sp macro="" textlink="$AZ$8">
      <xdr:nvSpPr>
        <xdr:cNvPr id="138" name="テキスト ボックス 137">
          <a:extLst>
            <a:ext uri="{FF2B5EF4-FFF2-40B4-BE49-F238E27FC236}">
              <a16:creationId xmlns:a16="http://schemas.microsoft.com/office/drawing/2014/main" id="{5EEA7171-186C-4C51-A196-176B532E9758}"/>
            </a:ext>
          </a:extLst>
        </xdr:cNvPr>
        <xdr:cNvSpPr txBox="1"/>
      </xdr:nvSpPr>
      <xdr:spPr>
        <a:xfrm>
          <a:off x="15094494" y="25608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09446F5-57D5-466E-8EF8-4197511FF4C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9.833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79793</xdr:colOff>
      <xdr:row>12</xdr:row>
      <xdr:rowOff>102115</xdr:rowOff>
    </xdr:from>
    <xdr:ext cx="242374" cy="444352"/>
    <xdr:sp macro="" textlink="$AP$10">
      <xdr:nvSpPr>
        <xdr:cNvPr id="139" name="テキスト ボックス 138">
          <a:extLst>
            <a:ext uri="{FF2B5EF4-FFF2-40B4-BE49-F238E27FC236}">
              <a16:creationId xmlns:a16="http://schemas.microsoft.com/office/drawing/2014/main" id="{81585067-2C8F-4ECB-8772-ED6E5D680A44}"/>
            </a:ext>
          </a:extLst>
        </xdr:cNvPr>
        <xdr:cNvSpPr txBox="1"/>
      </xdr:nvSpPr>
      <xdr:spPr>
        <a:xfrm rot="17233223">
          <a:off x="15066404" y="2275744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18833</xdr:colOff>
      <xdr:row>13</xdr:row>
      <xdr:rowOff>153697</xdr:rowOff>
    </xdr:from>
    <xdr:ext cx="242374" cy="249748"/>
    <xdr:sp macro="" textlink="$AP$10">
      <xdr:nvSpPr>
        <xdr:cNvPr id="140" name="テキスト ボックス 139">
          <a:extLst>
            <a:ext uri="{FF2B5EF4-FFF2-40B4-BE49-F238E27FC236}">
              <a16:creationId xmlns:a16="http://schemas.microsoft.com/office/drawing/2014/main" id="{195365B6-1D16-4EFC-935F-F57BBB619463}"/>
            </a:ext>
          </a:extLst>
        </xdr:cNvPr>
        <xdr:cNvSpPr txBox="1"/>
      </xdr:nvSpPr>
      <xdr:spPr>
        <a:xfrm rot="17233223">
          <a:off x="15102746" y="2458624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171234</xdr:colOff>
      <xdr:row>14</xdr:row>
      <xdr:rowOff>107977</xdr:rowOff>
    </xdr:from>
    <xdr:ext cx="242374" cy="249748"/>
    <xdr:sp macro="" textlink="$AP$10">
      <xdr:nvSpPr>
        <xdr:cNvPr id="141" name="テキスト ボックス 140">
          <a:extLst>
            <a:ext uri="{FF2B5EF4-FFF2-40B4-BE49-F238E27FC236}">
              <a16:creationId xmlns:a16="http://schemas.microsoft.com/office/drawing/2014/main" id="{DF78C363-F050-4625-88AA-495739F39DA1}"/>
            </a:ext>
          </a:extLst>
        </xdr:cNvPr>
        <xdr:cNvSpPr txBox="1"/>
      </xdr:nvSpPr>
      <xdr:spPr>
        <a:xfrm rot="17233223">
          <a:off x="15255147" y="2641504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224572</xdr:colOff>
      <xdr:row>13</xdr:row>
      <xdr:rowOff>41155</xdr:rowOff>
    </xdr:from>
    <xdr:ext cx="242374" cy="444352"/>
    <xdr:sp macro="" textlink="$AP$8">
      <xdr:nvSpPr>
        <xdr:cNvPr id="142" name="テキスト ボックス 141">
          <a:extLst>
            <a:ext uri="{FF2B5EF4-FFF2-40B4-BE49-F238E27FC236}">
              <a16:creationId xmlns:a16="http://schemas.microsoft.com/office/drawing/2014/main" id="{3E52B98F-D841-456B-9DB7-6C7702D77FFC}"/>
            </a:ext>
          </a:extLst>
        </xdr:cNvPr>
        <xdr:cNvSpPr txBox="1"/>
      </xdr:nvSpPr>
      <xdr:spPr>
        <a:xfrm rot="17233223">
          <a:off x="15211183" y="2443384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173161</xdr:colOff>
      <xdr:row>9</xdr:row>
      <xdr:rowOff>88185</xdr:rowOff>
    </xdr:from>
    <xdr:ext cx="444352" cy="224998"/>
    <xdr:sp macro="" textlink="$AZ$9">
      <xdr:nvSpPr>
        <xdr:cNvPr id="143" name="テキスト ボックス 142">
          <a:extLst>
            <a:ext uri="{FF2B5EF4-FFF2-40B4-BE49-F238E27FC236}">
              <a16:creationId xmlns:a16="http://schemas.microsoft.com/office/drawing/2014/main" id="{5C050A80-C089-4EF7-B398-EB47E9437ECC}"/>
            </a:ext>
          </a:extLst>
        </xdr:cNvPr>
        <xdr:cNvSpPr txBox="1"/>
      </xdr:nvSpPr>
      <xdr:spPr>
        <a:xfrm rot="1249213">
          <a:off x="15032161" y="14750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CBD86F3-89BB-4776-A381-052E1BA3792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4.989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63</xdr:col>
      <xdr:colOff>52837</xdr:colOff>
      <xdr:row>12</xdr:row>
      <xdr:rowOff>76639</xdr:rowOff>
    </xdr:from>
    <xdr:to>
      <xdr:col>63</xdr:col>
      <xdr:colOff>134527</xdr:colOff>
      <xdr:row>14</xdr:row>
      <xdr:rowOff>89678</xdr:rowOff>
    </xdr:to>
    <xdr:sp macro="" textlink="">
      <xdr:nvSpPr>
        <xdr:cNvPr id="144" name="直角三角形 143">
          <a:extLst>
            <a:ext uri="{FF2B5EF4-FFF2-40B4-BE49-F238E27FC236}">
              <a16:creationId xmlns:a16="http://schemas.microsoft.com/office/drawing/2014/main" id="{B89BB301-336A-42DD-99CD-B23F177411F7}"/>
            </a:ext>
          </a:extLst>
        </xdr:cNvPr>
        <xdr:cNvSpPr/>
      </xdr:nvSpPr>
      <xdr:spPr>
        <a:xfrm rot="11760000" flipH="1">
          <a:off x="14454637" y="2149279"/>
          <a:ext cx="81690" cy="470239"/>
        </a:xfrm>
        <a:prstGeom prst="rtTriangle">
          <a:avLst/>
        </a:prstGeom>
        <a:solidFill>
          <a:schemeClr val="bg1">
            <a:lumMod val="85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63</xdr:col>
      <xdr:colOff>140662</xdr:colOff>
      <xdr:row>12</xdr:row>
      <xdr:rowOff>42177</xdr:rowOff>
    </xdr:from>
    <xdr:ext cx="317266" cy="224998"/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680A1BEE-91DA-41CF-B87B-870481565066}"/>
            </a:ext>
          </a:extLst>
        </xdr:cNvPr>
        <xdr:cNvSpPr txBox="1"/>
      </xdr:nvSpPr>
      <xdr:spPr>
        <a:xfrm rot="1331345">
          <a:off x="14542462" y="2114817"/>
          <a:ext cx="31726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'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61430</xdr:colOff>
      <xdr:row>8</xdr:row>
      <xdr:rowOff>152361</xdr:rowOff>
    </xdr:from>
    <xdr:to>
      <xdr:col>61</xdr:col>
      <xdr:colOff>17101</xdr:colOff>
      <xdr:row>11</xdr:row>
      <xdr:rowOff>95296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70B87D20-B821-4F30-9CE5-F2F8FD2D9101}"/>
            </a:ext>
          </a:extLst>
        </xdr:cNvPr>
        <xdr:cNvCxnSpPr/>
      </xdr:nvCxnSpPr>
      <xdr:spPr>
        <a:xfrm flipH="1">
          <a:off x="13777430" y="1295361"/>
          <a:ext cx="184271" cy="643975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4251</xdr:colOff>
      <xdr:row>11</xdr:row>
      <xdr:rowOff>79154</xdr:rowOff>
    </xdr:from>
    <xdr:to>
      <xdr:col>60</xdr:col>
      <xdr:colOff>207401</xdr:colOff>
      <xdr:row>11</xdr:row>
      <xdr:rowOff>134943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B66499F4-48FB-4B20-B710-DD2E6BEEDB83}"/>
            </a:ext>
          </a:extLst>
        </xdr:cNvPr>
        <xdr:cNvCxnSpPr/>
      </xdr:nvCxnSpPr>
      <xdr:spPr>
        <a:xfrm>
          <a:off x="13720251" y="1923194"/>
          <a:ext cx="203150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198692</xdr:colOff>
      <xdr:row>8</xdr:row>
      <xdr:rowOff>131677</xdr:rowOff>
    </xdr:from>
    <xdr:to>
      <xdr:col>61</xdr:col>
      <xdr:colOff>165936</xdr:colOff>
      <xdr:row>8</xdr:row>
      <xdr:rowOff>185478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13EC6883-7723-4AE0-A3F4-7A38DAD3B427}"/>
            </a:ext>
          </a:extLst>
        </xdr:cNvPr>
        <xdr:cNvCxnSpPr/>
      </xdr:nvCxnSpPr>
      <xdr:spPr>
        <a:xfrm>
          <a:off x="13914692" y="1274677"/>
          <a:ext cx="195844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177819</xdr:colOff>
      <xdr:row>9</xdr:row>
      <xdr:rowOff>109653</xdr:rowOff>
    </xdr:from>
    <xdr:ext cx="224998" cy="286297"/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EFF0F046-382C-4E15-82DC-93C5548D6371}"/>
            </a:ext>
          </a:extLst>
        </xdr:cNvPr>
        <xdr:cNvSpPr txBox="1"/>
      </xdr:nvSpPr>
      <xdr:spPr>
        <a:xfrm rot="17233223">
          <a:off x="13634569" y="1527143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220666</xdr:colOff>
      <xdr:row>10</xdr:row>
      <xdr:rowOff>171048</xdr:rowOff>
    </xdr:from>
    <xdr:to>
      <xdr:col>64</xdr:col>
      <xdr:colOff>183964</xdr:colOff>
      <xdr:row>11</xdr:row>
      <xdr:rowOff>1955</xdr:rowOff>
    </xdr:to>
    <xdr:cxnSp macro="">
      <xdr:nvCxnSpPr>
        <xdr:cNvPr id="150" name="直線コネクタ 149">
          <a:extLst>
            <a:ext uri="{FF2B5EF4-FFF2-40B4-BE49-F238E27FC236}">
              <a16:creationId xmlns:a16="http://schemas.microsoft.com/office/drawing/2014/main" id="{D198F385-7D61-4D94-82F1-8446B172BBE3}"/>
            </a:ext>
          </a:extLst>
        </xdr:cNvPr>
        <xdr:cNvCxnSpPr/>
      </xdr:nvCxnSpPr>
      <xdr:spPr>
        <a:xfrm flipH="1" flipV="1">
          <a:off x="14622466" y="1786488"/>
          <a:ext cx="191898" cy="59507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167018</xdr:colOff>
      <xdr:row>10</xdr:row>
      <xdr:rowOff>103805</xdr:rowOff>
    </xdr:from>
    <xdr:ext cx="369525" cy="224998"/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44D09F0E-82FD-4DDE-BF22-4FAE5A01369A}"/>
            </a:ext>
          </a:extLst>
        </xdr:cNvPr>
        <xdr:cNvSpPr txBox="1"/>
      </xdr:nvSpPr>
      <xdr:spPr>
        <a:xfrm>
          <a:off x="14797418" y="1719245"/>
          <a:ext cx="36952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123706</xdr:colOff>
      <xdr:row>2</xdr:row>
      <xdr:rowOff>35065</xdr:rowOff>
    </xdr:from>
    <xdr:to>
      <xdr:col>100</xdr:col>
      <xdr:colOff>20741</xdr:colOff>
      <xdr:row>11</xdr:row>
      <xdr:rowOff>21760</xdr:rowOff>
    </xdr:to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1EA7F899-B8F2-4E0D-9920-6B11385E9BB8}"/>
            </a:ext>
          </a:extLst>
        </xdr:cNvPr>
        <xdr:cNvCxnSpPr/>
      </xdr:nvCxnSpPr>
      <xdr:spPr>
        <a:xfrm flipH="1">
          <a:off x="22297906" y="492265"/>
          <a:ext cx="582835" cy="205679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99</xdr:col>
      <xdr:colOff>86286</xdr:colOff>
      <xdr:row>2</xdr:row>
      <xdr:rowOff>63047</xdr:rowOff>
    </xdr:from>
    <xdr:to>
      <xdr:col>100</xdr:col>
      <xdr:colOff>53383</xdr:colOff>
      <xdr:row>7</xdr:row>
      <xdr:rowOff>38865</xdr:rowOff>
    </xdr:to>
    <xdr:sp macro="" textlink="">
      <xdr:nvSpPr>
        <xdr:cNvPr id="153" name="直角三角形 152">
          <a:extLst>
            <a:ext uri="{FF2B5EF4-FFF2-40B4-BE49-F238E27FC236}">
              <a16:creationId xmlns:a16="http://schemas.microsoft.com/office/drawing/2014/main" id="{F98BB76D-E207-4BCE-A0A1-E71EEDA2DC42}"/>
            </a:ext>
          </a:extLst>
        </xdr:cNvPr>
        <xdr:cNvSpPr/>
      </xdr:nvSpPr>
      <xdr:spPr>
        <a:xfrm rot="11760000" flipH="1">
          <a:off x="22717686" y="520247"/>
          <a:ext cx="195697" cy="11315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94</xdr:col>
      <xdr:colOff>50721</xdr:colOff>
      <xdr:row>2</xdr:row>
      <xdr:rowOff>156652</xdr:rowOff>
    </xdr:from>
    <xdr:ext cx="224998" cy="290464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9E43FDD6-6118-4F65-8A78-C8598B6EB108}"/>
            </a:ext>
          </a:extLst>
        </xdr:cNvPr>
        <xdr:cNvSpPr txBox="1"/>
      </xdr:nvSpPr>
      <xdr:spPr>
        <a:xfrm rot="16200000">
          <a:off x="21506388" y="646585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97</xdr:col>
      <xdr:colOff>142981</xdr:colOff>
      <xdr:row>0</xdr:row>
      <xdr:rowOff>120580</xdr:rowOff>
    </xdr:from>
    <xdr:ext cx="336311" cy="224998"/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89F2E49D-2A4E-4E31-B15B-CD8372422EFC}"/>
            </a:ext>
          </a:extLst>
        </xdr:cNvPr>
        <xdr:cNvSpPr txBox="1"/>
      </xdr:nvSpPr>
      <xdr:spPr>
        <a:xfrm>
          <a:off x="22317181" y="120580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185763</xdr:colOff>
      <xdr:row>2</xdr:row>
      <xdr:rowOff>34486</xdr:rowOff>
    </xdr:from>
    <xdr:to>
      <xdr:col>96</xdr:col>
      <xdr:colOff>100359</xdr:colOff>
      <xdr:row>2</xdr:row>
      <xdr:rowOff>34486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9643269B-FF6D-4A68-90A3-34A76FDD1926}"/>
            </a:ext>
          </a:extLst>
        </xdr:cNvPr>
        <xdr:cNvCxnSpPr/>
      </xdr:nvCxnSpPr>
      <xdr:spPr>
        <a:xfrm>
          <a:off x="21674163" y="491686"/>
          <a:ext cx="371796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673</xdr:colOff>
      <xdr:row>2</xdr:row>
      <xdr:rowOff>44878</xdr:rowOff>
    </xdr:from>
    <xdr:to>
      <xdr:col>95</xdr:col>
      <xdr:colOff>673</xdr:colOff>
      <xdr:row>5</xdr:row>
      <xdr:rowOff>22609</xdr:rowOff>
    </xdr:to>
    <xdr:cxnSp macro="">
      <xdr:nvCxnSpPr>
        <xdr:cNvPr id="157" name="直線コネクタ 156">
          <a:extLst>
            <a:ext uri="{FF2B5EF4-FFF2-40B4-BE49-F238E27FC236}">
              <a16:creationId xmlns:a16="http://schemas.microsoft.com/office/drawing/2014/main" id="{D88F8180-7F18-4B95-A029-10C7BEBE3141}"/>
            </a:ext>
          </a:extLst>
        </xdr:cNvPr>
        <xdr:cNvCxnSpPr/>
      </xdr:nvCxnSpPr>
      <xdr:spPr>
        <a:xfrm>
          <a:off x="21717673" y="502078"/>
          <a:ext cx="0" cy="6635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85729</xdr:colOff>
      <xdr:row>1</xdr:row>
      <xdr:rowOff>61477</xdr:rowOff>
    </xdr:from>
    <xdr:to>
      <xdr:col>98</xdr:col>
      <xdr:colOff>85729</xdr:colOff>
      <xdr:row>1</xdr:row>
      <xdr:rowOff>219188</xdr:rowOff>
    </xdr:to>
    <xdr:cxnSp macro="">
      <xdr:nvCxnSpPr>
        <xdr:cNvPr id="158" name="直線コネクタ 157">
          <a:extLst>
            <a:ext uri="{FF2B5EF4-FFF2-40B4-BE49-F238E27FC236}">
              <a16:creationId xmlns:a16="http://schemas.microsoft.com/office/drawing/2014/main" id="{90917F05-26CE-4E74-8D06-1B95317904EE}"/>
            </a:ext>
          </a:extLst>
        </xdr:cNvPr>
        <xdr:cNvCxnSpPr/>
      </xdr:nvCxnSpPr>
      <xdr:spPr>
        <a:xfrm>
          <a:off x="22488529" y="290077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179938</xdr:colOff>
      <xdr:row>5</xdr:row>
      <xdr:rowOff>14646</xdr:rowOff>
    </xdr:from>
    <xdr:to>
      <xdr:col>97</xdr:col>
      <xdr:colOff>72525</xdr:colOff>
      <xdr:row>5</xdr:row>
      <xdr:rowOff>14646</xdr:rowOff>
    </xdr:to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5DA5E1DA-0B55-4B77-9B11-A48C43C79D79}"/>
            </a:ext>
          </a:extLst>
        </xdr:cNvPr>
        <xdr:cNvCxnSpPr/>
      </xdr:nvCxnSpPr>
      <xdr:spPr>
        <a:xfrm>
          <a:off x="21668338" y="1157646"/>
          <a:ext cx="578387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11510</xdr:colOff>
      <xdr:row>1</xdr:row>
      <xdr:rowOff>61477</xdr:rowOff>
    </xdr:from>
    <xdr:to>
      <xdr:col>100</xdr:col>
      <xdr:colOff>11510</xdr:colOff>
      <xdr:row>1</xdr:row>
      <xdr:rowOff>219188</xdr:rowOff>
    </xdr:to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63CCAAD7-6F3A-49AD-83BA-87FD3680CE0A}"/>
            </a:ext>
          </a:extLst>
        </xdr:cNvPr>
        <xdr:cNvCxnSpPr/>
      </xdr:nvCxnSpPr>
      <xdr:spPr>
        <a:xfrm>
          <a:off x="22871510" y="290077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85243</xdr:colOff>
      <xdr:row>1</xdr:row>
      <xdr:rowOff>98872</xdr:rowOff>
    </xdr:from>
    <xdr:to>
      <xdr:col>100</xdr:col>
      <xdr:colOff>11327</xdr:colOff>
      <xdr:row>1</xdr:row>
      <xdr:rowOff>98872</xdr:rowOff>
    </xdr:to>
    <xdr:cxnSp macro="">
      <xdr:nvCxnSpPr>
        <xdr:cNvPr id="161" name="直線コネクタ 160">
          <a:extLst>
            <a:ext uri="{FF2B5EF4-FFF2-40B4-BE49-F238E27FC236}">
              <a16:creationId xmlns:a16="http://schemas.microsoft.com/office/drawing/2014/main" id="{08303164-E517-4867-BF08-E797BD9F8C5E}"/>
            </a:ext>
          </a:extLst>
        </xdr:cNvPr>
        <xdr:cNvCxnSpPr/>
      </xdr:nvCxnSpPr>
      <xdr:spPr>
        <a:xfrm>
          <a:off x="22488043" y="327472"/>
          <a:ext cx="38328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54127</xdr:colOff>
      <xdr:row>11</xdr:row>
      <xdr:rowOff>219194</xdr:rowOff>
    </xdr:from>
    <xdr:ext cx="349135" cy="224998"/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407CE65E-6CA7-4231-9039-E7BDC70E82B1}"/>
            </a:ext>
          </a:extLst>
        </xdr:cNvPr>
        <xdr:cNvSpPr txBox="1"/>
      </xdr:nvSpPr>
      <xdr:spPr>
        <a:xfrm>
          <a:off x="21771127" y="274649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122138</xdr:colOff>
      <xdr:row>12</xdr:row>
      <xdr:rowOff>23297</xdr:rowOff>
    </xdr:from>
    <xdr:to>
      <xdr:col>97</xdr:col>
      <xdr:colOff>151395</xdr:colOff>
      <xdr:row>12</xdr:row>
      <xdr:rowOff>23297</xdr:rowOff>
    </xdr:to>
    <xdr:cxnSp macro="">
      <xdr:nvCxnSpPr>
        <xdr:cNvPr id="163" name="直線コネクタ 162">
          <a:extLst>
            <a:ext uri="{FF2B5EF4-FFF2-40B4-BE49-F238E27FC236}">
              <a16:creationId xmlns:a16="http://schemas.microsoft.com/office/drawing/2014/main" id="{4A1142C3-B4A8-4DB4-866C-240F0034E3F9}"/>
            </a:ext>
          </a:extLst>
        </xdr:cNvPr>
        <xdr:cNvCxnSpPr/>
      </xdr:nvCxnSpPr>
      <xdr:spPr>
        <a:xfrm>
          <a:off x="21839138" y="2779197"/>
          <a:ext cx="48645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124090</xdr:colOff>
      <xdr:row>11</xdr:row>
      <xdr:rowOff>187525</xdr:rowOff>
    </xdr:from>
    <xdr:to>
      <xdr:col>95</xdr:col>
      <xdr:colOff>124090</xdr:colOff>
      <xdr:row>12</xdr:row>
      <xdr:rowOff>69564</xdr:rowOff>
    </xdr:to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A8ED23C8-83F8-42DD-9C55-F4F2846BE55B}"/>
            </a:ext>
          </a:extLst>
        </xdr:cNvPr>
        <xdr:cNvCxnSpPr/>
      </xdr:nvCxnSpPr>
      <xdr:spPr>
        <a:xfrm>
          <a:off x="21841090" y="2714825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162002</xdr:colOff>
      <xdr:row>11</xdr:row>
      <xdr:rowOff>177134</xdr:rowOff>
    </xdr:from>
    <xdr:to>
      <xdr:col>97</xdr:col>
      <xdr:colOff>162002</xdr:colOff>
      <xdr:row>12</xdr:row>
      <xdr:rowOff>57305</xdr:rowOff>
    </xdr:to>
    <xdr:cxnSp macro="">
      <xdr:nvCxnSpPr>
        <xdr:cNvPr id="165" name="直線コネクタ 164">
          <a:extLst>
            <a:ext uri="{FF2B5EF4-FFF2-40B4-BE49-F238E27FC236}">
              <a16:creationId xmlns:a16="http://schemas.microsoft.com/office/drawing/2014/main" id="{8B6CB08A-A53E-46B8-9D8D-D35E56ECD364}"/>
            </a:ext>
          </a:extLst>
        </xdr:cNvPr>
        <xdr:cNvCxnSpPr/>
      </xdr:nvCxnSpPr>
      <xdr:spPr>
        <a:xfrm>
          <a:off x="22336202" y="2704434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211278</xdr:colOff>
      <xdr:row>2</xdr:row>
      <xdr:rowOff>177569</xdr:rowOff>
    </xdr:from>
    <xdr:to>
      <xdr:col>104</xdr:col>
      <xdr:colOff>37710</xdr:colOff>
      <xdr:row>3</xdr:row>
      <xdr:rowOff>93692</xdr:rowOff>
    </xdr:to>
    <xdr:cxnSp macro="">
      <xdr:nvCxnSpPr>
        <xdr:cNvPr id="166" name="直線コネクタ 165">
          <a:extLst>
            <a:ext uri="{FF2B5EF4-FFF2-40B4-BE49-F238E27FC236}">
              <a16:creationId xmlns:a16="http://schemas.microsoft.com/office/drawing/2014/main" id="{244E0552-D9C7-42A8-9645-9F5064AE0038}"/>
            </a:ext>
          </a:extLst>
        </xdr:cNvPr>
        <xdr:cNvCxnSpPr/>
      </xdr:nvCxnSpPr>
      <xdr:spPr>
        <a:xfrm>
          <a:off x="23299878" y="634769"/>
          <a:ext cx="512232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40286</xdr:colOff>
      <xdr:row>3</xdr:row>
      <xdr:rowOff>70746</xdr:rowOff>
    </xdr:from>
    <xdr:to>
      <xdr:col>103</xdr:col>
      <xdr:colOff>194884</xdr:colOff>
      <xdr:row>12</xdr:row>
      <xdr:rowOff>143883</xdr:rowOff>
    </xdr:to>
    <xdr:cxnSp macro="">
      <xdr:nvCxnSpPr>
        <xdr:cNvPr id="167" name="直線コネクタ 166">
          <a:extLst>
            <a:ext uri="{FF2B5EF4-FFF2-40B4-BE49-F238E27FC236}">
              <a16:creationId xmlns:a16="http://schemas.microsoft.com/office/drawing/2014/main" id="{96709ECB-D119-48DF-93DF-EE589F606122}"/>
            </a:ext>
          </a:extLst>
        </xdr:cNvPr>
        <xdr:cNvCxnSpPr/>
      </xdr:nvCxnSpPr>
      <xdr:spPr>
        <a:xfrm flipH="1">
          <a:off x="23128886" y="756546"/>
          <a:ext cx="611798" cy="214323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55646</xdr:colOff>
      <xdr:row>12</xdr:row>
      <xdr:rowOff>20638</xdr:rowOff>
    </xdr:from>
    <xdr:to>
      <xdr:col>101</xdr:col>
      <xdr:colOff>46347</xdr:colOff>
      <xdr:row>12</xdr:row>
      <xdr:rowOff>150111</xdr:rowOff>
    </xdr:to>
    <xdr:cxnSp macro="">
      <xdr:nvCxnSpPr>
        <xdr:cNvPr id="168" name="直線コネクタ 167">
          <a:extLst>
            <a:ext uri="{FF2B5EF4-FFF2-40B4-BE49-F238E27FC236}">
              <a16:creationId xmlns:a16="http://schemas.microsoft.com/office/drawing/2014/main" id="{DD0E6DE9-175F-4C86-8D7D-EC8F85597DA9}"/>
            </a:ext>
          </a:extLst>
        </xdr:cNvPr>
        <xdr:cNvCxnSpPr/>
      </xdr:nvCxnSpPr>
      <xdr:spPr>
        <a:xfrm>
          <a:off x="22687046" y="2776538"/>
          <a:ext cx="447901" cy="12947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102</xdr:col>
      <xdr:colOff>85405</xdr:colOff>
      <xdr:row>7</xdr:row>
      <xdr:rowOff>139564</xdr:rowOff>
    </xdr:from>
    <xdr:ext cx="242374" cy="271228"/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0F84DE2A-C444-42B3-B6B8-D068BEBAD0BE}"/>
            </a:ext>
          </a:extLst>
        </xdr:cNvPr>
        <xdr:cNvSpPr txBox="1"/>
      </xdr:nvSpPr>
      <xdr:spPr>
        <a:xfrm rot="17220000">
          <a:off x="23388178" y="1766891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101</xdr:col>
      <xdr:colOff>69637</xdr:colOff>
      <xdr:row>5</xdr:row>
      <xdr:rowOff>43683</xdr:rowOff>
    </xdr:from>
    <xdr:ext cx="242374" cy="582980"/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AC4ED1D0-6685-4CA5-8D26-7CEE5F5D5F45}"/>
            </a:ext>
          </a:extLst>
        </xdr:cNvPr>
        <xdr:cNvSpPr txBox="1"/>
      </xdr:nvSpPr>
      <xdr:spPr>
        <a:xfrm rot="17233223">
          <a:off x="22987934" y="1356986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34903</xdr:colOff>
      <xdr:row>10</xdr:row>
      <xdr:rowOff>16742</xdr:rowOff>
    </xdr:from>
    <xdr:ext cx="242374" cy="305853"/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BB94BF5C-F49E-483A-8F3C-952646FD6870}"/>
            </a:ext>
          </a:extLst>
        </xdr:cNvPr>
        <xdr:cNvSpPr txBox="1"/>
      </xdr:nvSpPr>
      <xdr:spPr>
        <a:xfrm rot="17233223">
          <a:off x="22863163" y="2347182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184342</xdr:colOff>
      <xdr:row>7</xdr:row>
      <xdr:rowOff>165913</xdr:rowOff>
    </xdr:from>
    <xdr:to>
      <xdr:col>101</xdr:col>
      <xdr:colOff>27714</xdr:colOff>
      <xdr:row>12</xdr:row>
      <xdr:rowOff>42855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E8406224-32AD-457D-8024-959AD64E114D}"/>
            </a:ext>
          </a:extLst>
        </xdr:cNvPr>
        <xdr:cNvCxnSpPr/>
      </xdr:nvCxnSpPr>
      <xdr:spPr>
        <a:xfrm flipH="1">
          <a:off x="22815742" y="1778813"/>
          <a:ext cx="300572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30305</xdr:colOff>
      <xdr:row>3</xdr:row>
      <xdr:rowOff>1723</xdr:rowOff>
    </xdr:from>
    <xdr:to>
      <xdr:col>102</xdr:col>
      <xdr:colOff>107073</xdr:colOff>
      <xdr:row>7</xdr:row>
      <xdr:rowOff>170356</xdr:rowOff>
    </xdr:to>
    <xdr:cxnSp macro="">
      <xdr:nvCxnSpPr>
        <xdr:cNvPr id="173" name="直線コネクタ 172">
          <a:extLst>
            <a:ext uri="{FF2B5EF4-FFF2-40B4-BE49-F238E27FC236}">
              <a16:creationId xmlns:a16="http://schemas.microsoft.com/office/drawing/2014/main" id="{E06C37A9-E204-40A0-953E-0E9A5AA9D6EF}"/>
            </a:ext>
          </a:extLst>
        </xdr:cNvPr>
        <xdr:cNvCxnSpPr/>
      </xdr:nvCxnSpPr>
      <xdr:spPr>
        <a:xfrm flipH="1">
          <a:off x="23118905" y="687523"/>
          <a:ext cx="305368" cy="108303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102275</xdr:colOff>
      <xdr:row>7</xdr:row>
      <xdr:rowOff>119560</xdr:rowOff>
    </xdr:from>
    <xdr:to>
      <xdr:col>101</xdr:col>
      <xdr:colOff>121981</xdr:colOff>
      <xdr:row>7</xdr:row>
      <xdr:rowOff>185456</xdr:rowOff>
    </xdr:to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285F2A20-595E-4431-B889-AB552BA99725}"/>
            </a:ext>
          </a:extLst>
        </xdr:cNvPr>
        <xdr:cNvCxnSpPr/>
      </xdr:nvCxnSpPr>
      <xdr:spPr>
        <a:xfrm>
          <a:off x="22962275" y="1732460"/>
          <a:ext cx="248306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78389</xdr:colOff>
      <xdr:row>3</xdr:row>
      <xdr:rowOff>132425</xdr:rowOff>
    </xdr:from>
    <xdr:to>
      <xdr:col>100</xdr:col>
      <xdr:colOff>140523</xdr:colOff>
      <xdr:row>4</xdr:row>
      <xdr:rowOff>171618</xdr:rowOff>
    </xdr:to>
    <xdr:sp macro="" textlink="">
      <xdr:nvSpPr>
        <xdr:cNvPr id="175" name="円弧 174">
          <a:extLst>
            <a:ext uri="{FF2B5EF4-FFF2-40B4-BE49-F238E27FC236}">
              <a16:creationId xmlns:a16="http://schemas.microsoft.com/office/drawing/2014/main" id="{30AC2C78-9EAE-4C0B-BA68-D789F08F7249}"/>
            </a:ext>
          </a:extLst>
        </xdr:cNvPr>
        <xdr:cNvSpPr/>
      </xdr:nvSpPr>
      <xdr:spPr>
        <a:xfrm rot="11917365">
          <a:off x="22709789" y="818225"/>
          <a:ext cx="290734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100</xdr:col>
      <xdr:colOff>10250</xdr:colOff>
      <xdr:row>2</xdr:row>
      <xdr:rowOff>32581</xdr:rowOff>
    </xdr:from>
    <xdr:to>
      <xdr:col>100</xdr:col>
      <xdr:colOff>10250</xdr:colOff>
      <xdr:row>5</xdr:row>
      <xdr:rowOff>9869</xdr:rowOff>
    </xdr:to>
    <xdr:cxnSp macro="">
      <xdr:nvCxnSpPr>
        <xdr:cNvPr id="176" name="直線コネクタ 175">
          <a:extLst>
            <a:ext uri="{FF2B5EF4-FFF2-40B4-BE49-F238E27FC236}">
              <a16:creationId xmlns:a16="http://schemas.microsoft.com/office/drawing/2014/main" id="{49FBD01A-5E29-46E0-B9BF-746444973AA1}"/>
            </a:ext>
          </a:extLst>
        </xdr:cNvPr>
        <xdr:cNvCxnSpPr/>
      </xdr:nvCxnSpPr>
      <xdr:spPr>
        <a:xfrm>
          <a:off x="22870250" y="489781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99</xdr:col>
      <xdr:colOff>182661</xdr:colOff>
      <xdr:row>4</xdr:row>
      <xdr:rowOff>101425</xdr:rowOff>
    </xdr:from>
    <xdr:ext cx="365165" cy="242374"/>
    <xdr:sp macro="" textlink="">
      <xdr:nvSpPr>
        <xdr:cNvPr id="177" name="テキスト ボックス 176">
          <a:extLst>
            <a:ext uri="{FF2B5EF4-FFF2-40B4-BE49-F238E27FC236}">
              <a16:creationId xmlns:a16="http://schemas.microsoft.com/office/drawing/2014/main" id="{F3051C5E-A613-4A67-A95F-32EA66319907}"/>
            </a:ext>
          </a:extLst>
        </xdr:cNvPr>
        <xdr:cNvSpPr txBox="1"/>
      </xdr:nvSpPr>
      <xdr:spPr>
        <a:xfrm>
          <a:off x="22814061" y="1015825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157935</xdr:colOff>
      <xdr:row>4</xdr:row>
      <xdr:rowOff>96723</xdr:rowOff>
    </xdr:from>
    <xdr:ext cx="386644" cy="224998"/>
    <xdr:sp macro="" textlink="$BB$33">
      <xdr:nvSpPr>
        <xdr:cNvPr id="178" name="テキスト ボックス 177">
          <a:extLst>
            <a:ext uri="{FF2B5EF4-FFF2-40B4-BE49-F238E27FC236}">
              <a16:creationId xmlns:a16="http://schemas.microsoft.com/office/drawing/2014/main" id="{BCAECACA-1461-466E-9A99-F95CE77328C0}"/>
            </a:ext>
          </a:extLst>
        </xdr:cNvPr>
        <xdr:cNvSpPr txBox="1"/>
      </xdr:nvSpPr>
      <xdr:spPr>
        <a:xfrm>
          <a:off x="23017935" y="1011123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5C13236-0B3C-4CB4-B0C3-581C31C326B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147881</xdr:colOff>
      <xdr:row>1</xdr:row>
      <xdr:rowOff>154120</xdr:rowOff>
    </xdr:from>
    <xdr:ext cx="370486" cy="224998"/>
    <xdr:sp macro="" textlink="">
      <xdr:nvSpPr>
        <xdr:cNvPr id="179" name="テキスト ボックス 178">
          <a:extLst>
            <a:ext uri="{FF2B5EF4-FFF2-40B4-BE49-F238E27FC236}">
              <a16:creationId xmlns:a16="http://schemas.microsoft.com/office/drawing/2014/main" id="{780D09B9-2390-474C-83B6-6CB0CDAF3403}"/>
            </a:ext>
          </a:extLst>
        </xdr:cNvPr>
        <xdr:cNvSpPr txBox="1"/>
      </xdr:nvSpPr>
      <xdr:spPr>
        <a:xfrm rot="1181880">
          <a:off x="23007881" y="382720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90096</xdr:colOff>
      <xdr:row>3</xdr:row>
      <xdr:rowOff>190887</xdr:rowOff>
    </xdr:from>
    <xdr:ext cx="396134" cy="224998"/>
    <xdr:sp macro="" textlink="">
      <xdr:nvSpPr>
        <xdr:cNvPr id="180" name="テキスト ボックス 179">
          <a:extLst>
            <a:ext uri="{FF2B5EF4-FFF2-40B4-BE49-F238E27FC236}">
              <a16:creationId xmlns:a16="http://schemas.microsoft.com/office/drawing/2014/main" id="{2AA09F5B-D9A7-4324-A0C6-D8E3C4C4CDD1}"/>
            </a:ext>
          </a:extLst>
        </xdr:cNvPr>
        <xdr:cNvSpPr txBox="1"/>
      </xdr:nvSpPr>
      <xdr:spPr>
        <a:xfrm>
          <a:off x="22950096" y="876687"/>
          <a:ext cx="3961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108044</xdr:colOff>
      <xdr:row>4</xdr:row>
      <xdr:rowOff>29530</xdr:rowOff>
    </xdr:from>
    <xdr:to>
      <xdr:col>100</xdr:col>
      <xdr:colOff>143935</xdr:colOff>
      <xdr:row>4</xdr:row>
      <xdr:rowOff>105891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213D3A9A-6630-4601-AC24-4640C7890F8A}"/>
            </a:ext>
          </a:extLst>
        </xdr:cNvPr>
        <xdr:cNvCxnSpPr/>
      </xdr:nvCxnSpPr>
      <xdr:spPr>
        <a:xfrm flipH="1" flipV="1">
          <a:off x="22739444" y="943930"/>
          <a:ext cx="264491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120233</xdr:colOff>
      <xdr:row>0</xdr:row>
      <xdr:rowOff>120580</xdr:rowOff>
    </xdr:from>
    <xdr:ext cx="444352" cy="224998"/>
    <xdr:sp macro="" textlink="'1.設計条件'!T7">
      <xdr:nvSpPr>
        <xdr:cNvPr id="182" name="テキスト ボックス 181">
          <a:extLst>
            <a:ext uri="{FF2B5EF4-FFF2-40B4-BE49-F238E27FC236}">
              <a16:creationId xmlns:a16="http://schemas.microsoft.com/office/drawing/2014/main" id="{ABAD2DCB-83A9-4985-ACCB-CF4EA2E5A1DB}"/>
            </a:ext>
          </a:extLst>
        </xdr:cNvPr>
        <xdr:cNvSpPr txBox="1"/>
      </xdr:nvSpPr>
      <xdr:spPr>
        <a:xfrm>
          <a:off x="22523033" y="1205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25765</xdr:colOff>
      <xdr:row>11</xdr:row>
      <xdr:rowOff>210569</xdr:rowOff>
    </xdr:from>
    <xdr:ext cx="444352" cy="224998"/>
    <xdr:sp macro="" textlink="'1.設計条件'!T9">
      <xdr:nvSpPr>
        <xdr:cNvPr id="183" name="テキスト ボックス 182">
          <a:extLst>
            <a:ext uri="{FF2B5EF4-FFF2-40B4-BE49-F238E27FC236}">
              <a16:creationId xmlns:a16="http://schemas.microsoft.com/office/drawing/2014/main" id="{339D594C-9CCF-4605-B194-F84FADDA0587}"/>
            </a:ext>
          </a:extLst>
        </xdr:cNvPr>
        <xdr:cNvSpPr txBox="1"/>
      </xdr:nvSpPr>
      <xdr:spPr>
        <a:xfrm>
          <a:off x="21971365" y="273786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90447</xdr:colOff>
      <xdr:row>2</xdr:row>
      <xdr:rowOff>33806</xdr:rowOff>
    </xdr:from>
    <xdr:to>
      <xdr:col>100</xdr:col>
      <xdr:colOff>21263</xdr:colOff>
      <xdr:row>2</xdr:row>
      <xdr:rowOff>33806</xdr:rowOff>
    </xdr:to>
    <xdr:cxnSp macro="">
      <xdr:nvCxnSpPr>
        <xdr:cNvPr id="184" name="直線コネクタ 183">
          <a:extLst>
            <a:ext uri="{FF2B5EF4-FFF2-40B4-BE49-F238E27FC236}">
              <a16:creationId xmlns:a16="http://schemas.microsoft.com/office/drawing/2014/main" id="{B3BD02B8-B3A0-4866-A090-5BB8990C94DD}"/>
            </a:ext>
          </a:extLst>
        </xdr:cNvPr>
        <xdr:cNvCxnSpPr/>
      </xdr:nvCxnSpPr>
      <xdr:spPr>
        <a:xfrm>
          <a:off x="22493247" y="491006"/>
          <a:ext cx="38801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191397</xdr:colOff>
      <xdr:row>2</xdr:row>
      <xdr:rowOff>30302</xdr:rowOff>
    </xdr:from>
    <xdr:to>
      <xdr:col>98</xdr:col>
      <xdr:colOff>89681</xdr:colOff>
      <xdr:row>11</xdr:row>
      <xdr:rowOff>21351</xdr:rowOff>
    </xdr:to>
    <xdr:cxnSp macro="">
      <xdr:nvCxnSpPr>
        <xdr:cNvPr id="185" name="直線コネクタ 184">
          <a:extLst>
            <a:ext uri="{FF2B5EF4-FFF2-40B4-BE49-F238E27FC236}">
              <a16:creationId xmlns:a16="http://schemas.microsoft.com/office/drawing/2014/main" id="{0FFCA2B9-5280-4A8A-B1AC-10799B0D8F7B}"/>
            </a:ext>
          </a:extLst>
        </xdr:cNvPr>
        <xdr:cNvCxnSpPr/>
      </xdr:nvCxnSpPr>
      <xdr:spPr>
        <a:xfrm flipH="1">
          <a:off x="21908397" y="487502"/>
          <a:ext cx="584084" cy="206114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149248</xdr:colOff>
      <xdr:row>11</xdr:row>
      <xdr:rowOff>36591</xdr:rowOff>
    </xdr:from>
    <xdr:to>
      <xdr:col>97</xdr:col>
      <xdr:colOff>152066</xdr:colOff>
      <xdr:row>11</xdr:row>
      <xdr:rowOff>144591</xdr:rowOff>
    </xdr:to>
    <xdr:sp macro="" textlink="">
      <xdr:nvSpPr>
        <xdr:cNvPr id="186" name="正方形/長方形 185">
          <a:extLst>
            <a:ext uri="{FF2B5EF4-FFF2-40B4-BE49-F238E27FC236}">
              <a16:creationId xmlns:a16="http://schemas.microsoft.com/office/drawing/2014/main" id="{9F4FCA58-ECCE-49B0-B79A-E3E70D211574}"/>
            </a:ext>
          </a:extLst>
        </xdr:cNvPr>
        <xdr:cNvSpPr/>
      </xdr:nvSpPr>
      <xdr:spPr>
        <a:xfrm>
          <a:off x="21866248" y="2563891"/>
          <a:ext cx="460018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97</xdr:col>
      <xdr:colOff>31857</xdr:colOff>
      <xdr:row>2</xdr:row>
      <xdr:rowOff>157279</xdr:rowOff>
    </xdr:from>
    <xdr:to>
      <xdr:col>99</xdr:col>
      <xdr:colOff>128632</xdr:colOff>
      <xdr:row>11</xdr:row>
      <xdr:rowOff>21760</xdr:rowOff>
    </xdr:to>
    <xdr:cxnSp macro="">
      <xdr:nvCxnSpPr>
        <xdr:cNvPr id="187" name="直線コネクタ 186">
          <a:extLst>
            <a:ext uri="{FF2B5EF4-FFF2-40B4-BE49-F238E27FC236}">
              <a16:creationId xmlns:a16="http://schemas.microsoft.com/office/drawing/2014/main" id="{BE63B44F-A4D8-4999-B590-7F704872A7FD}"/>
            </a:ext>
          </a:extLst>
        </xdr:cNvPr>
        <xdr:cNvCxnSpPr/>
      </xdr:nvCxnSpPr>
      <xdr:spPr>
        <a:xfrm flipH="1">
          <a:off x="22206057" y="614479"/>
          <a:ext cx="553975" cy="19345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63594</xdr:colOff>
      <xdr:row>9</xdr:row>
      <xdr:rowOff>138309</xdr:rowOff>
    </xdr:from>
    <xdr:to>
      <xdr:col>97</xdr:col>
      <xdr:colOff>136914</xdr:colOff>
      <xdr:row>9</xdr:row>
      <xdr:rowOff>138309</xdr:rowOff>
    </xdr:to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1F3551B7-1F8C-4DB7-BA81-A5B72827A5A6}"/>
            </a:ext>
          </a:extLst>
        </xdr:cNvPr>
        <xdr:cNvCxnSpPr/>
      </xdr:nvCxnSpPr>
      <xdr:spPr>
        <a:xfrm>
          <a:off x="22009194" y="2208409"/>
          <a:ext cx="30192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163743</xdr:colOff>
      <xdr:row>8</xdr:row>
      <xdr:rowOff>25097</xdr:rowOff>
    </xdr:from>
    <xdr:to>
      <xdr:col>98</xdr:col>
      <xdr:colOff>4472</xdr:colOff>
      <xdr:row>8</xdr:row>
      <xdr:rowOff>25097</xdr:rowOff>
    </xdr:to>
    <xdr:cxnSp macro="">
      <xdr:nvCxnSpPr>
        <xdr:cNvPr id="189" name="直線コネクタ 188">
          <a:extLst>
            <a:ext uri="{FF2B5EF4-FFF2-40B4-BE49-F238E27FC236}">
              <a16:creationId xmlns:a16="http://schemas.microsoft.com/office/drawing/2014/main" id="{9FF0D167-FF44-4FDF-B0D9-A1546C0280FC}"/>
            </a:ext>
          </a:extLst>
        </xdr:cNvPr>
        <xdr:cNvCxnSpPr/>
      </xdr:nvCxnSpPr>
      <xdr:spPr>
        <a:xfrm>
          <a:off x="22109343" y="1866597"/>
          <a:ext cx="29792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26945</xdr:colOff>
      <xdr:row>6</xdr:row>
      <xdr:rowOff>133955</xdr:rowOff>
    </xdr:from>
    <xdr:to>
      <xdr:col>98</xdr:col>
      <xdr:colOff>100266</xdr:colOff>
      <xdr:row>6</xdr:row>
      <xdr:rowOff>133955</xdr:rowOff>
    </xdr:to>
    <xdr:cxnSp macro="">
      <xdr:nvCxnSpPr>
        <xdr:cNvPr id="190" name="直線コネクタ 189">
          <a:extLst>
            <a:ext uri="{FF2B5EF4-FFF2-40B4-BE49-F238E27FC236}">
              <a16:creationId xmlns:a16="http://schemas.microsoft.com/office/drawing/2014/main" id="{FBADB398-5C19-4599-8590-2A96BBB9D610}"/>
            </a:ext>
          </a:extLst>
        </xdr:cNvPr>
        <xdr:cNvCxnSpPr/>
      </xdr:nvCxnSpPr>
      <xdr:spPr>
        <a:xfrm>
          <a:off x="22201145" y="1518255"/>
          <a:ext cx="30192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131448</xdr:colOff>
      <xdr:row>5</xdr:row>
      <xdr:rowOff>9857</xdr:rowOff>
    </xdr:from>
    <xdr:to>
      <xdr:col>98</xdr:col>
      <xdr:colOff>209303</xdr:colOff>
      <xdr:row>5</xdr:row>
      <xdr:rowOff>9857</xdr:rowOff>
    </xdr:to>
    <xdr:cxnSp macro="">
      <xdr:nvCxnSpPr>
        <xdr:cNvPr id="191" name="直線コネクタ 190">
          <a:extLst>
            <a:ext uri="{FF2B5EF4-FFF2-40B4-BE49-F238E27FC236}">
              <a16:creationId xmlns:a16="http://schemas.microsoft.com/office/drawing/2014/main" id="{3CA36626-810D-4966-BBED-9CDA53C4DF05}"/>
            </a:ext>
          </a:extLst>
        </xdr:cNvPr>
        <xdr:cNvCxnSpPr/>
      </xdr:nvCxnSpPr>
      <xdr:spPr>
        <a:xfrm>
          <a:off x="22305648" y="1152857"/>
          <a:ext cx="30645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7714</xdr:colOff>
      <xdr:row>3</xdr:row>
      <xdr:rowOff>120891</xdr:rowOff>
    </xdr:from>
    <xdr:to>
      <xdr:col>99</xdr:col>
      <xdr:colOff>81033</xdr:colOff>
      <xdr:row>3</xdr:row>
      <xdr:rowOff>120891</xdr:rowOff>
    </xdr:to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05A62F85-A705-4E55-B8B2-D8B52BE2F585}"/>
            </a:ext>
          </a:extLst>
        </xdr:cNvPr>
        <xdr:cNvCxnSpPr/>
      </xdr:nvCxnSpPr>
      <xdr:spPr>
        <a:xfrm>
          <a:off x="22410514" y="806691"/>
          <a:ext cx="30191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46494</xdr:colOff>
      <xdr:row>2</xdr:row>
      <xdr:rowOff>151780</xdr:rowOff>
    </xdr:from>
    <xdr:to>
      <xdr:col>99</xdr:col>
      <xdr:colOff>222366</xdr:colOff>
      <xdr:row>2</xdr:row>
      <xdr:rowOff>151780</xdr:rowOff>
    </xdr:to>
    <xdr:cxnSp macro="">
      <xdr:nvCxnSpPr>
        <xdr:cNvPr id="193" name="直線コネクタ 192">
          <a:extLst>
            <a:ext uri="{FF2B5EF4-FFF2-40B4-BE49-F238E27FC236}">
              <a16:creationId xmlns:a16="http://schemas.microsoft.com/office/drawing/2014/main" id="{82070ACB-823D-4969-9191-650343F58C25}"/>
            </a:ext>
          </a:extLst>
        </xdr:cNvPr>
        <xdr:cNvCxnSpPr/>
      </xdr:nvCxnSpPr>
      <xdr:spPr>
        <a:xfrm>
          <a:off x="22449294" y="608980"/>
          <a:ext cx="40447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104148</xdr:colOff>
      <xdr:row>3</xdr:row>
      <xdr:rowOff>182363</xdr:rowOff>
    </xdr:from>
    <xdr:ext cx="444352" cy="224998"/>
    <xdr:sp macro="" textlink="$AZ$8">
      <xdr:nvSpPr>
        <xdr:cNvPr id="194" name="テキスト ボックス 193">
          <a:extLst>
            <a:ext uri="{FF2B5EF4-FFF2-40B4-BE49-F238E27FC236}">
              <a16:creationId xmlns:a16="http://schemas.microsoft.com/office/drawing/2014/main" id="{DEE94A8D-5165-4106-AF44-6345F840A1C5}"/>
            </a:ext>
          </a:extLst>
        </xdr:cNvPr>
        <xdr:cNvSpPr txBox="1"/>
      </xdr:nvSpPr>
      <xdr:spPr>
        <a:xfrm>
          <a:off x="23298175" y="87129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EB95479-9D50-471A-9959-D14E56D2E31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9.833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14482</xdr:colOff>
      <xdr:row>5</xdr:row>
      <xdr:rowOff>36797</xdr:rowOff>
    </xdr:from>
    <xdr:ext cx="242374" cy="444352"/>
    <xdr:sp macro="" textlink="$AP$10">
      <xdr:nvSpPr>
        <xdr:cNvPr id="195" name="テキスト ボックス 194">
          <a:extLst>
            <a:ext uri="{FF2B5EF4-FFF2-40B4-BE49-F238E27FC236}">
              <a16:creationId xmlns:a16="http://schemas.microsoft.com/office/drawing/2014/main" id="{9891A6F5-53BE-4D8D-9AC1-4D94D5116873}"/>
            </a:ext>
          </a:extLst>
        </xdr:cNvPr>
        <xdr:cNvSpPr txBox="1"/>
      </xdr:nvSpPr>
      <xdr:spPr>
        <a:xfrm rot="17233223">
          <a:off x="23230693" y="1280786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182122</xdr:colOff>
      <xdr:row>6</xdr:row>
      <xdr:rowOff>88379</xdr:rowOff>
    </xdr:from>
    <xdr:ext cx="242374" cy="249748"/>
    <xdr:sp macro="" textlink="$AP$10">
      <xdr:nvSpPr>
        <xdr:cNvPr id="196" name="テキスト ボックス 195">
          <a:extLst>
            <a:ext uri="{FF2B5EF4-FFF2-40B4-BE49-F238E27FC236}">
              <a16:creationId xmlns:a16="http://schemas.microsoft.com/office/drawing/2014/main" id="{F9957079-995F-4582-B2BB-DB1B8087F54E}"/>
            </a:ext>
          </a:extLst>
        </xdr:cNvPr>
        <xdr:cNvSpPr txBox="1"/>
      </xdr:nvSpPr>
      <xdr:spPr>
        <a:xfrm rot="17233223">
          <a:off x="23267035" y="1476366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105924</xdr:colOff>
      <xdr:row>7</xdr:row>
      <xdr:rowOff>42659</xdr:rowOff>
    </xdr:from>
    <xdr:ext cx="242374" cy="249748"/>
    <xdr:sp macro="" textlink="$AP$10">
      <xdr:nvSpPr>
        <xdr:cNvPr id="197" name="テキスト ボックス 196">
          <a:extLst>
            <a:ext uri="{FF2B5EF4-FFF2-40B4-BE49-F238E27FC236}">
              <a16:creationId xmlns:a16="http://schemas.microsoft.com/office/drawing/2014/main" id="{403E1E43-A867-4C7B-BC53-0170CE23CDD8}"/>
            </a:ext>
          </a:extLst>
        </xdr:cNvPr>
        <xdr:cNvSpPr txBox="1"/>
      </xdr:nvSpPr>
      <xdr:spPr>
        <a:xfrm rot="17233223">
          <a:off x="23419437" y="1659246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157448</xdr:colOff>
      <xdr:row>5</xdr:row>
      <xdr:rowOff>204437</xdr:rowOff>
    </xdr:from>
    <xdr:ext cx="242374" cy="444352"/>
    <xdr:sp macro="" textlink="$AP$8">
      <xdr:nvSpPr>
        <xdr:cNvPr id="198" name="テキスト ボックス 197">
          <a:extLst>
            <a:ext uri="{FF2B5EF4-FFF2-40B4-BE49-F238E27FC236}">
              <a16:creationId xmlns:a16="http://schemas.microsoft.com/office/drawing/2014/main" id="{90342F99-0CAD-4B91-8CF5-45F3A72F8EE5}"/>
            </a:ext>
          </a:extLst>
        </xdr:cNvPr>
        <xdr:cNvSpPr txBox="1"/>
      </xdr:nvSpPr>
      <xdr:spPr>
        <a:xfrm rot="17233223">
          <a:off x="23373659" y="1448426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117086</xdr:colOff>
      <xdr:row>2</xdr:row>
      <xdr:rowOff>22867</xdr:rowOff>
    </xdr:from>
    <xdr:ext cx="444352" cy="224998"/>
    <xdr:sp macro="" textlink="$AZ$9">
      <xdr:nvSpPr>
        <xdr:cNvPr id="199" name="テキスト ボックス 198">
          <a:extLst>
            <a:ext uri="{FF2B5EF4-FFF2-40B4-BE49-F238E27FC236}">
              <a16:creationId xmlns:a16="http://schemas.microsoft.com/office/drawing/2014/main" id="{7BA8D6D6-BB32-472C-BF3A-7111AE084244}"/>
            </a:ext>
          </a:extLst>
        </xdr:cNvPr>
        <xdr:cNvSpPr txBox="1"/>
      </xdr:nvSpPr>
      <xdr:spPr>
        <a:xfrm rot="1249213">
          <a:off x="23205686" y="48006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77DED77-2812-454B-9939-4DA78BE672D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4.989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98</xdr:col>
      <xdr:colOff>221569</xdr:colOff>
      <xdr:row>5</xdr:row>
      <xdr:rowOff>11321</xdr:rowOff>
    </xdr:from>
    <xdr:to>
      <xdr:col>99</xdr:col>
      <xdr:colOff>74659</xdr:colOff>
      <xdr:row>7</xdr:row>
      <xdr:rowOff>24360</xdr:rowOff>
    </xdr:to>
    <xdr:sp macro="" textlink="">
      <xdr:nvSpPr>
        <xdr:cNvPr id="200" name="直角三角形 199">
          <a:extLst>
            <a:ext uri="{FF2B5EF4-FFF2-40B4-BE49-F238E27FC236}">
              <a16:creationId xmlns:a16="http://schemas.microsoft.com/office/drawing/2014/main" id="{AED89BA9-2FA3-4C55-BFD5-C0DE73FBDC53}"/>
            </a:ext>
          </a:extLst>
        </xdr:cNvPr>
        <xdr:cNvSpPr/>
      </xdr:nvSpPr>
      <xdr:spPr>
        <a:xfrm rot="11760000" flipH="1">
          <a:off x="22624369" y="1154321"/>
          <a:ext cx="81690" cy="482939"/>
        </a:xfrm>
        <a:prstGeom prst="rtTriangle">
          <a:avLst/>
        </a:prstGeom>
        <a:solidFill>
          <a:schemeClr val="bg1">
            <a:lumMod val="85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99</xdr:col>
      <xdr:colOff>80794</xdr:colOff>
      <xdr:row>4</xdr:row>
      <xdr:rowOff>205459</xdr:rowOff>
    </xdr:from>
    <xdr:ext cx="317266" cy="224998"/>
    <xdr:sp macro="" textlink="">
      <xdr:nvSpPr>
        <xdr:cNvPr id="201" name="テキスト ボックス 200">
          <a:extLst>
            <a:ext uri="{FF2B5EF4-FFF2-40B4-BE49-F238E27FC236}">
              <a16:creationId xmlns:a16="http://schemas.microsoft.com/office/drawing/2014/main" id="{7F9DD101-6E47-4EC7-A6DB-26220A79C1B6}"/>
            </a:ext>
          </a:extLst>
        </xdr:cNvPr>
        <xdr:cNvSpPr txBox="1"/>
      </xdr:nvSpPr>
      <xdr:spPr>
        <a:xfrm rot="1331345">
          <a:off x="22712194" y="1119859"/>
          <a:ext cx="31726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'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96</xdr:col>
      <xdr:colOff>7006</xdr:colOff>
      <xdr:row>1</xdr:row>
      <xdr:rowOff>76157</xdr:rowOff>
    </xdr:from>
    <xdr:to>
      <xdr:col>96</xdr:col>
      <xdr:colOff>191277</xdr:colOff>
      <xdr:row>4</xdr:row>
      <xdr:rowOff>29978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A1D24CCF-B30E-4CE2-86FD-13E5C2219AB6}"/>
            </a:ext>
          </a:extLst>
        </xdr:cNvPr>
        <xdr:cNvCxnSpPr/>
      </xdr:nvCxnSpPr>
      <xdr:spPr>
        <a:xfrm flipH="1">
          <a:off x="21952606" y="304757"/>
          <a:ext cx="184271" cy="63962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180241</xdr:colOff>
      <xdr:row>4</xdr:row>
      <xdr:rowOff>13836</xdr:rowOff>
    </xdr:from>
    <xdr:to>
      <xdr:col>96</xdr:col>
      <xdr:colOff>152977</xdr:colOff>
      <xdr:row>4</xdr:row>
      <xdr:rowOff>69625</xdr:rowOff>
    </xdr:to>
    <xdr:cxnSp macro="">
      <xdr:nvCxnSpPr>
        <xdr:cNvPr id="203" name="直線コネクタ 202">
          <a:extLst>
            <a:ext uri="{FF2B5EF4-FFF2-40B4-BE49-F238E27FC236}">
              <a16:creationId xmlns:a16="http://schemas.microsoft.com/office/drawing/2014/main" id="{206FB318-353B-4A9A-B927-5B7ACB450A35}"/>
            </a:ext>
          </a:extLst>
        </xdr:cNvPr>
        <xdr:cNvCxnSpPr/>
      </xdr:nvCxnSpPr>
      <xdr:spPr>
        <a:xfrm>
          <a:off x="21897241" y="928236"/>
          <a:ext cx="201336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144268</xdr:colOff>
      <xdr:row>1</xdr:row>
      <xdr:rowOff>55473</xdr:rowOff>
    </xdr:from>
    <xdr:to>
      <xdr:col>97</xdr:col>
      <xdr:colOff>109697</xdr:colOff>
      <xdr:row>1</xdr:row>
      <xdr:rowOff>109274</xdr:rowOff>
    </xdr:to>
    <xdr:cxnSp macro="">
      <xdr:nvCxnSpPr>
        <xdr:cNvPr id="204" name="直線コネクタ 203">
          <a:extLst>
            <a:ext uri="{FF2B5EF4-FFF2-40B4-BE49-F238E27FC236}">
              <a16:creationId xmlns:a16="http://schemas.microsoft.com/office/drawing/2014/main" id="{532D676F-48C8-4C67-B681-E7F2FA22F1B0}"/>
            </a:ext>
          </a:extLst>
        </xdr:cNvPr>
        <xdr:cNvCxnSpPr/>
      </xdr:nvCxnSpPr>
      <xdr:spPr>
        <a:xfrm>
          <a:off x="22089868" y="284073"/>
          <a:ext cx="194029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125208</xdr:colOff>
      <xdr:row>2</xdr:row>
      <xdr:rowOff>44335</xdr:rowOff>
    </xdr:from>
    <xdr:ext cx="224998" cy="286297"/>
    <xdr:sp macro="" textlink="">
      <xdr:nvSpPr>
        <xdr:cNvPr id="205" name="テキスト ボックス 204">
          <a:extLst>
            <a:ext uri="{FF2B5EF4-FFF2-40B4-BE49-F238E27FC236}">
              <a16:creationId xmlns:a16="http://schemas.microsoft.com/office/drawing/2014/main" id="{CA4E4D1A-46F9-4563-9FCE-C74B5ED31D6C}"/>
            </a:ext>
          </a:extLst>
        </xdr:cNvPr>
        <xdr:cNvSpPr txBox="1"/>
      </xdr:nvSpPr>
      <xdr:spPr>
        <a:xfrm rot="17233223">
          <a:off x="21811558" y="532185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97</xdr:col>
      <xdr:colOff>97656</xdr:colOff>
      <xdr:row>4</xdr:row>
      <xdr:rowOff>209958</xdr:rowOff>
    </xdr:from>
    <xdr:to>
      <xdr:col>97</xdr:col>
      <xdr:colOff>149321</xdr:colOff>
      <xdr:row>5</xdr:row>
      <xdr:rowOff>37505</xdr:rowOff>
    </xdr:to>
    <xdr:sp macro="" textlink="">
      <xdr:nvSpPr>
        <xdr:cNvPr id="206" name="楕円 205">
          <a:extLst>
            <a:ext uri="{FF2B5EF4-FFF2-40B4-BE49-F238E27FC236}">
              <a16:creationId xmlns:a16="http://schemas.microsoft.com/office/drawing/2014/main" id="{74AA9826-7F22-4409-AE96-58BC44261B45}"/>
            </a:ext>
          </a:extLst>
        </xdr:cNvPr>
        <xdr:cNvSpPr/>
      </xdr:nvSpPr>
      <xdr:spPr>
        <a:xfrm>
          <a:off x="22271856" y="1124358"/>
          <a:ext cx="51665" cy="56147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99</xdr:col>
      <xdr:colOff>160799</xdr:colOff>
      <xdr:row>3</xdr:row>
      <xdr:rowOff>105730</xdr:rowOff>
    </xdr:from>
    <xdr:to>
      <xdr:col>100</xdr:col>
      <xdr:colOff>122282</xdr:colOff>
      <xdr:row>3</xdr:row>
      <xdr:rowOff>160755</xdr:rowOff>
    </xdr:to>
    <xdr:cxnSp macro="">
      <xdr:nvCxnSpPr>
        <xdr:cNvPr id="207" name="直線コネクタ 206">
          <a:extLst>
            <a:ext uri="{FF2B5EF4-FFF2-40B4-BE49-F238E27FC236}">
              <a16:creationId xmlns:a16="http://schemas.microsoft.com/office/drawing/2014/main" id="{B094E0ED-05D4-4F1C-A8EE-4FEEF79D011D}"/>
            </a:ext>
          </a:extLst>
        </xdr:cNvPr>
        <xdr:cNvCxnSpPr/>
      </xdr:nvCxnSpPr>
      <xdr:spPr>
        <a:xfrm flipH="1" flipV="1">
          <a:off x="22792199" y="791530"/>
          <a:ext cx="190083" cy="55025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100</xdr:col>
      <xdr:colOff>105336</xdr:colOff>
      <xdr:row>3</xdr:row>
      <xdr:rowOff>38487</xdr:rowOff>
    </xdr:from>
    <xdr:ext cx="369525" cy="224998"/>
    <xdr:sp macro="" textlink="">
      <xdr:nvSpPr>
        <xdr:cNvPr id="208" name="テキスト ボックス 207">
          <a:extLst>
            <a:ext uri="{FF2B5EF4-FFF2-40B4-BE49-F238E27FC236}">
              <a16:creationId xmlns:a16="http://schemas.microsoft.com/office/drawing/2014/main" id="{F0E3D37C-353C-4FCB-AF1E-61267463B0B6}"/>
            </a:ext>
          </a:extLst>
        </xdr:cNvPr>
        <xdr:cNvSpPr txBox="1"/>
      </xdr:nvSpPr>
      <xdr:spPr>
        <a:xfrm>
          <a:off x="22965336" y="724287"/>
          <a:ext cx="36952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132000</xdr:colOff>
      <xdr:row>2</xdr:row>
      <xdr:rowOff>132327</xdr:rowOff>
    </xdr:from>
    <xdr:to>
      <xdr:col>99</xdr:col>
      <xdr:colOff>173788</xdr:colOff>
      <xdr:row>2</xdr:row>
      <xdr:rowOff>132327</xdr:rowOff>
    </xdr:to>
    <xdr:cxnSp macro="">
      <xdr:nvCxnSpPr>
        <xdr:cNvPr id="209" name="直線コネクタ 208">
          <a:extLst>
            <a:ext uri="{FF2B5EF4-FFF2-40B4-BE49-F238E27FC236}">
              <a16:creationId xmlns:a16="http://schemas.microsoft.com/office/drawing/2014/main" id="{AA139E08-139A-4CD8-A33C-1AE855D436A0}"/>
            </a:ext>
          </a:extLst>
        </xdr:cNvPr>
        <xdr:cNvCxnSpPr/>
      </xdr:nvCxnSpPr>
      <xdr:spPr>
        <a:xfrm>
          <a:off x="22306200" y="589527"/>
          <a:ext cx="49898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173160</xdr:colOff>
      <xdr:row>2</xdr:row>
      <xdr:rowOff>91213</xdr:rowOff>
    </xdr:from>
    <xdr:to>
      <xdr:col>99</xdr:col>
      <xdr:colOff>173160</xdr:colOff>
      <xdr:row>3</xdr:row>
      <xdr:rowOff>20323</xdr:rowOff>
    </xdr:to>
    <xdr:cxnSp macro="">
      <xdr:nvCxnSpPr>
        <xdr:cNvPr id="210" name="直線コネクタ 209">
          <a:extLst>
            <a:ext uri="{FF2B5EF4-FFF2-40B4-BE49-F238E27FC236}">
              <a16:creationId xmlns:a16="http://schemas.microsoft.com/office/drawing/2014/main" id="{334836CE-E052-48AB-B27A-DB240F6972BD}"/>
            </a:ext>
          </a:extLst>
        </xdr:cNvPr>
        <xdr:cNvCxnSpPr/>
      </xdr:nvCxnSpPr>
      <xdr:spPr>
        <a:xfrm>
          <a:off x="22804560" y="548413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132183</xdr:colOff>
      <xdr:row>2</xdr:row>
      <xdr:rowOff>91214</xdr:rowOff>
    </xdr:from>
    <xdr:to>
      <xdr:col>97</xdr:col>
      <xdr:colOff>132183</xdr:colOff>
      <xdr:row>3</xdr:row>
      <xdr:rowOff>20324</xdr:rowOff>
    </xdr:to>
    <xdr:cxnSp macro="">
      <xdr:nvCxnSpPr>
        <xdr:cNvPr id="211" name="直線コネクタ 210">
          <a:extLst>
            <a:ext uri="{FF2B5EF4-FFF2-40B4-BE49-F238E27FC236}">
              <a16:creationId xmlns:a16="http://schemas.microsoft.com/office/drawing/2014/main" id="{8C28CFEC-467D-4CBE-BAF0-E38AFBA0C9E8}"/>
            </a:ext>
          </a:extLst>
        </xdr:cNvPr>
        <xdr:cNvCxnSpPr/>
      </xdr:nvCxnSpPr>
      <xdr:spPr>
        <a:xfrm>
          <a:off x="22306383" y="548414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40805</xdr:colOff>
      <xdr:row>1</xdr:row>
      <xdr:rowOff>178194</xdr:rowOff>
    </xdr:from>
    <xdr:ext cx="316049" cy="224998"/>
    <xdr:sp macro="" textlink="">
      <xdr:nvSpPr>
        <xdr:cNvPr id="212" name="テキスト ボックス 211">
          <a:extLst>
            <a:ext uri="{FF2B5EF4-FFF2-40B4-BE49-F238E27FC236}">
              <a16:creationId xmlns:a16="http://schemas.microsoft.com/office/drawing/2014/main" id="{1240DC11-98EA-46EA-936B-A8BF28B0025A}"/>
            </a:ext>
          </a:extLst>
        </xdr:cNvPr>
        <xdr:cNvSpPr txBox="1"/>
      </xdr:nvSpPr>
      <xdr:spPr>
        <a:xfrm>
          <a:off x="22443605" y="406794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26827</xdr:colOff>
      <xdr:row>3</xdr:row>
      <xdr:rowOff>105672</xdr:rowOff>
    </xdr:from>
    <xdr:to>
      <xdr:col>97</xdr:col>
      <xdr:colOff>26827</xdr:colOff>
      <xdr:row>5</xdr:row>
      <xdr:rowOff>20178</xdr:rowOff>
    </xdr:to>
    <xdr:cxnSp macro="">
      <xdr:nvCxnSpPr>
        <xdr:cNvPr id="213" name="直線コネクタ 212">
          <a:extLst>
            <a:ext uri="{FF2B5EF4-FFF2-40B4-BE49-F238E27FC236}">
              <a16:creationId xmlns:a16="http://schemas.microsoft.com/office/drawing/2014/main" id="{E20E582A-0B28-4ED5-A085-4AAEAB75B8EA}"/>
            </a:ext>
          </a:extLst>
        </xdr:cNvPr>
        <xdr:cNvCxnSpPr/>
      </xdr:nvCxnSpPr>
      <xdr:spPr>
        <a:xfrm>
          <a:off x="22201027" y="791472"/>
          <a:ext cx="0" cy="37170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208156</xdr:colOff>
      <xdr:row>3</xdr:row>
      <xdr:rowOff>101393</xdr:rowOff>
    </xdr:from>
    <xdr:to>
      <xdr:col>99</xdr:col>
      <xdr:colOff>124655</xdr:colOff>
      <xdr:row>3</xdr:row>
      <xdr:rowOff>101393</xdr:rowOff>
    </xdr:to>
    <xdr:cxnSp macro="">
      <xdr:nvCxnSpPr>
        <xdr:cNvPr id="214" name="直線コネクタ 213">
          <a:extLst>
            <a:ext uri="{FF2B5EF4-FFF2-40B4-BE49-F238E27FC236}">
              <a16:creationId xmlns:a16="http://schemas.microsoft.com/office/drawing/2014/main" id="{D35C6476-931A-4731-A996-E9E1B59255EA}"/>
            </a:ext>
          </a:extLst>
        </xdr:cNvPr>
        <xdr:cNvCxnSpPr/>
      </xdr:nvCxnSpPr>
      <xdr:spPr>
        <a:xfrm>
          <a:off x="22153756" y="787193"/>
          <a:ext cx="602299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96</xdr:col>
      <xdr:colOff>67658</xdr:colOff>
      <xdr:row>3</xdr:row>
      <xdr:rowOff>138243</xdr:rowOff>
    </xdr:from>
    <xdr:ext cx="224998" cy="316049"/>
    <xdr:sp macro="" textlink="">
      <xdr:nvSpPr>
        <xdr:cNvPr id="215" name="テキスト ボックス 214">
          <a:extLst>
            <a:ext uri="{FF2B5EF4-FFF2-40B4-BE49-F238E27FC236}">
              <a16:creationId xmlns:a16="http://schemas.microsoft.com/office/drawing/2014/main" id="{BD530576-E0F6-4E93-89A2-4114A09717F5}"/>
            </a:ext>
          </a:extLst>
        </xdr:cNvPr>
        <xdr:cNvSpPr txBox="1"/>
      </xdr:nvSpPr>
      <xdr:spPr>
        <a:xfrm rot="16200000">
          <a:off x="21967732" y="869569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80162</xdr:colOff>
      <xdr:row>16</xdr:row>
      <xdr:rowOff>13294</xdr:rowOff>
    </xdr:from>
    <xdr:to>
      <xdr:col>99</xdr:col>
      <xdr:colOff>205797</xdr:colOff>
      <xdr:row>25</xdr:row>
      <xdr:rowOff>10875</xdr:rowOff>
    </xdr:to>
    <xdr:cxnSp macro="">
      <xdr:nvCxnSpPr>
        <xdr:cNvPr id="216" name="直線コネクタ 215">
          <a:extLst>
            <a:ext uri="{FF2B5EF4-FFF2-40B4-BE49-F238E27FC236}">
              <a16:creationId xmlns:a16="http://schemas.microsoft.com/office/drawing/2014/main" id="{FCB7A8A0-BA0B-497D-8CD1-EBEA10BCF808}"/>
            </a:ext>
          </a:extLst>
        </xdr:cNvPr>
        <xdr:cNvCxnSpPr/>
      </xdr:nvCxnSpPr>
      <xdr:spPr>
        <a:xfrm flipH="1">
          <a:off x="22254362" y="3683594"/>
          <a:ext cx="582835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99</xdr:col>
      <xdr:colOff>42742</xdr:colOff>
      <xdr:row>16</xdr:row>
      <xdr:rowOff>41276</xdr:rowOff>
    </xdr:from>
    <xdr:to>
      <xdr:col>100</xdr:col>
      <xdr:colOff>9839</xdr:colOff>
      <xdr:row>21</xdr:row>
      <xdr:rowOff>17094</xdr:rowOff>
    </xdr:to>
    <xdr:sp macro="" textlink="">
      <xdr:nvSpPr>
        <xdr:cNvPr id="217" name="直角三角形 216">
          <a:extLst>
            <a:ext uri="{FF2B5EF4-FFF2-40B4-BE49-F238E27FC236}">
              <a16:creationId xmlns:a16="http://schemas.microsoft.com/office/drawing/2014/main" id="{809A3ED4-3AE8-4740-8E3D-E00E311BC8DD}"/>
            </a:ext>
          </a:extLst>
        </xdr:cNvPr>
        <xdr:cNvSpPr/>
      </xdr:nvSpPr>
      <xdr:spPr>
        <a:xfrm rot="11760000" flipH="1">
          <a:off x="22674142" y="3711576"/>
          <a:ext cx="195697" cy="11188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91</xdr:col>
      <xdr:colOff>164081</xdr:colOff>
      <xdr:row>19</xdr:row>
      <xdr:rowOff>153227</xdr:rowOff>
    </xdr:from>
    <xdr:ext cx="224998" cy="292581"/>
    <xdr:sp macro="" textlink="">
      <xdr:nvSpPr>
        <xdr:cNvPr id="218" name="テキスト ボックス 217">
          <a:extLst>
            <a:ext uri="{FF2B5EF4-FFF2-40B4-BE49-F238E27FC236}">
              <a16:creationId xmlns:a16="http://schemas.microsoft.com/office/drawing/2014/main" id="{4765F8F4-B98D-4C62-B16C-EB96FE05EC6C}"/>
            </a:ext>
          </a:extLst>
        </xdr:cNvPr>
        <xdr:cNvSpPr txBox="1"/>
      </xdr:nvSpPr>
      <xdr:spPr>
        <a:xfrm rot="16200000">
          <a:off x="20932889" y="4543119"/>
          <a:ext cx="29258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97</xdr:col>
      <xdr:colOff>99437</xdr:colOff>
      <xdr:row>14</xdr:row>
      <xdr:rowOff>98809</xdr:rowOff>
    </xdr:from>
    <xdr:ext cx="336311" cy="224998"/>
    <xdr:sp macro="" textlink="">
      <xdr:nvSpPr>
        <xdr:cNvPr id="219" name="テキスト ボックス 218">
          <a:extLst>
            <a:ext uri="{FF2B5EF4-FFF2-40B4-BE49-F238E27FC236}">
              <a16:creationId xmlns:a16="http://schemas.microsoft.com/office/drawing/2014/main" id="{B48EC5B3-5465-4848-B596-ACFC64E70A69}"/>
            </a:ext>
          </a:extLst>
        </xdr:cNvPr>
        <xdr:cNvSpPr txBox="1"/>
      </xdr:nvSpPr>
      <xdr:spPr>
        <a:xfrm>
          <a:off x="22273637" y="3311909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92</xdr:col>
      <xdr:colOff>70679</xdr:colOff>
      <xdr:row>16</xdr:row>
      <xdr:rowOff>12715</xdr:rowOff>
    </xdr:from>
    <xdr:to>
      <xdr:col>94</xdr:col>
      <xdr:colOff>184426</xdr:colOff>
      <xdr:row>16</xdr:row>
      <xdr:rowOff>12715</xdr:rowOff>
    </xdr:to>
    <xdr:cxnSp macro="">
      <xdr:nvCxnSpPr>
        <xdr:cNvPr id="220" name="直線コネクタ 219">
          <a:extLst>
            <a:ext uri="{FF2B5EF4-FFF2-40B4-BE49-F238E27FC236}">
              <a16:creationId xmlns:a16="http://schemas.microsoft.com/office/drawing/2014/main" id="{55141383-6DA5-4FF1-A7AE-AF81EA1FA94E}"/>
            </a:ext>
          </a:extLst>
        </xdr:cNvPr>
        <xdr:cNvCxnSpPr/>
      </xdr:nvCxnSpPr>
      <xdr:spPr>
        <a:xfrm>
          <a:off x="21101879" y="3683015"/>
          <a:ext cx="570947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164748</xdr:colOff>
      <xdr:row>16</xdr:row>
      <xdr:rowOff>23107</xdr:rowOff>
    </xdr:from>
    <xdr:to>
      <xdr:col>92</xdr:col>
      <xdr:colOff>164748</xdr:colOff>
      <xdr:row>23</xdr:row>
      <xdr:rowOff>131573</xdr:rowOff>
    </xdr:to>
    <xdr:cxnSp macro="">
      <xdr:nvCxnSpPr>
        <xdr:cNvPr id="221" name="直線コネクタ 220">
          <a:extLst>
            <a:ext uri="{FF2B5EF4-FFF2-40B4-BE49-F238E27FC236}">
              <a16:creationId xmlns:a16="http://schemas.microsoft.com/office/drawing/2014/main" id="{D8F378F0-3A6C-45D5-865F-BD6E980C0612}"/>
            </a:ext>
          </a:extLst>
        </xdr:cNvPr>
        <xdr:cNvCxnSpPr/>
      </xdr:nvCxnSpPr>
      <xdr:spPr>
        <a:xfrm>
          <a:off x="21195948" y="3693407"/>
          <a:ext cx="0" cy="170866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42185</xdr:colOff>
      <xdr:row>15</xdr:row>
      <xdr:rowOff>39706</xdr:rowOff>
    </xdr:from>
    <xdr:to>
      <xdr:col>98</xdr:col>
      <xdr:colOff>42185</xdr:colOff>
      <xdr:row>15</xdr:row>
      <xdr:rowOff>197417</xdr:rowOff>
    </xdr:to>
    <xdr:cxnSp macro="">
      <xdr:nvCxnSpPr>
        <xdr:cNvPr id="222" name="直線コネクタ 221">
          <a:extLst>
            <a:ext uri="{FF2B5EF4-FFF2-40B4-BE49-F238E27FC236}">
              <a16:creationId xmlns:a16="http://schemas.microsoft.com/office/drawing/2014/main" id="{90D52B5E-AFCA-47C6-8D8F-95183EE955A1}"/>
            </a:ext>
          </a:extLst>
        </xdr:cNvPr>
        <xdr:cNvCxnSpPr/>
      </xdr:nvCxnSpPr>
      <xdr:spPr>
        <a:xfrm>
          <a:off x="22444985" y="3481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93</xdr:col>
      <xdr:colOff>110988</xdr:colOff>
      <xdr:row>20</xdr:row>
      <xdr:rowOff>208223</xdr:rowOff>
    </xdr:from>
    <xdr:to>
      <xdr:col>95</xdr:col>
      <xdr:colOff>92213</xdr:colOff>
      <xdr:row>20</xdr:row>
      <xdr:rowOff>208223</xdr:rowOff>
    </xdr:to>
    <xdr:cxnSp macro="">
      <xdr:nvCxnSpPr>
        <xdr:cNvPr id="223" name="直線コネクタ 222">
          <a:extLst>
            <a:ext uri="{FF2B5EF4-FFF2-40B4-BE49-F238E27FC236}">
              <a16:creationId xmlns:a16="http://schemas.microsoft.com/office/drawing/2014/main" id="{2028BE52-C83D-4870-99DD-18FA2326D179}"/>
            </a:ext>
          </a:extLst>
        </xdr:cNvPr>
        <xdr:cNvCxnSpPr/>
      </xdr:nvCxnSpPr>
      <xdr:spPr>
        <a:xfrm>
          <a:off x="21370788" y="4792923"/>
          <a:ext cx="438425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196566</xdr:colOff>
      <xdr:row>15</xdr:row>
      <xdr:rowOff>39706</xdr:rowOff>
    </xdr:from>
    <xdr:to>
      <xdr:col>99</xdr:col>
      <xdr:colOff>196566</xdr:colOff>
      <xdr:row>15</xdr:row>
      <xdr:rowOff>197417</xdr:rowOff>
    </xdr:to>
    <xdr:cxnSp macro="">
      <xdr:nvCxnSpPr>
        <xdr:cNvPr id="224" name="直線コネクタ 223">
          <a:extLst>
            <a:ext uri="{FF2B5EF4-FFF2-40B4-BE49-F238E27FC236}">
              <a16:creationId xmlns:a16="http://schemas.microsoft.com/office/drawing/2014/main" id="{972C3BA8-353C-4483-8588-DEED511670D5}"/>
            </a:ext>
          </a:extLst>
        </xdr:cNvPr>
        <xdr:cNvCxnSpPr/>
      </xdr:nvCxnSpPr>
      <xdr:spPr>
        <a:xfrm>
          <a:off x="22827966" y="3481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41699</xdr:colOff>
      <xdr:row>15</xdr:row>
      <xdr:rowOff>77101</xdr:rowOff>
    </xdr:from>
    <xdr:to>
      <xdr:col>99</xdr:col>
      <xdr:colOff>196383</xdr:colOff>
      <xdr:row>15</xdr:row>
      <xdr:rowOff>77101</xdr:rowOff>
    </xdr:to>
    <xdr:cxnSp macro="">
      <xdr:nvCxnSpPr>
        <xdr:cNvPr id="225" name="直線コネクタ 224">
          <a:extLst>
            <a:ext uri="{FF2B5EF4-FFF2-40B4-BE49-F238E27FC236}">
              <a16:creationId xmlns:a16="http://schemas.microsoft.com/office/drawing/2014/main" id="{1CC73697-E779-4122-811E-1F14FCDDB261}"/>
            </a:ext>
          </a:extLst>
        </xdr:cNvPr>
        <xdr:cNvCxnSpPr/>
      </xdr:nvCxnSpPr>
      <xdr:spPr>
        <a:xfrm>
          <a:off x="22444499" y="3518801"/>
          <a:ext cx="38328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12397</xdr:colOff>
      <xdr:row>25</xdr:row>
      <xdr:rowOff>197423</xdr:rowOff>
    </xdr:from>
    <xdr:ext cx="349135" cy="224998"/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225C2F75-17EC-4934-9A2E-1B1D9C8A76FA}"/>
            </a:ext>
          </a:extLst>
        </xdr:cNvPr>
        <xdr:cNvSpPr txBox="1"/>
      </xdr:nvSpPr>
      <xdr:spPr>
        <a:xfrm>
          <a:off x="21729397" y="5925123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78594</xdr:colOff>
      <xdr:row>26</xdr:row>
      <xdr:rowOff>1526</xdr:rowOff>
    </xdr:from>
    <xdr:to>
      <xdr:col>97</xdr:col>
      <xdr:colOff>107850</xdr:colOff>
      <xdr:row>26</xdr:row>
      <xdr:rowOff>1526</xdr:rowOff>
    </xdr:to>
    <xdr:cxnSp macro="">
      <xdr:nvCxnSpPr>
        <xdr:cNvPr id="227" name="直線コネクタ 226">
          <a:extLst>
            <a:ext uri="{FF2B5EF4-FFF2-40B4-BE49-F238E27FC236}">
              <a16:creationId xmlns:a16="http://schemas.microsoft.com/office/drawing/2014/main" id="{ECAC7287-2BB4-4193-9101-E1845D8698B5}"/>
            </a:ext>
          </a:extLst>
        </xdr:cNvPr>
        <xdr:cNvCxnSpPr/>
      </xdr:nvCxnSpPr>
      <xdr:spPr>
        <a:xfrm>
          <a:off x="21795594" y="5957826"/>
          <a:ext cx="48645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80546</xdr:colOff>
      <xdr:row>25</xdr:row>
      <xdr:rowOff>165754</xdr:rowOff>
    </xdr:from>
    <xdr:to>
      <xdr:col>95</xdr:col>
      <xdr:colOff>80546</xdr:colOff>
      <xdr:row>26</xdr:row>
      <xdr:rowOff>47793</xdr:rowOff>
    </xdr:to>
    <xdr:cxnSp macro="">
      <xdr:nvCxnSpPr>
        <xdr:cNvPr id="228" name="直線コネクタ 227">
          <a:extLst>
            <a:ext uri="{FF2B5EF4-FFF2-40B4-BE49-F238E27FC236}">
              <a16:creationId xmlns:a16="http://schemas.microsoft.com/office/drawing/2014/main" id="{EE681B1B-AC7E-429C-AE84-4693A2C97798}"/>
            </a:ext>
          </a:extLst>
        </xdr:cNvPr>
        <xdr:cNvCxnSpPr/>
      </xdr:nvCxnSpPr>
      <xdr:spPr>
        <a:xfrm>
          <a:off x="21797546" y="5893454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118458</xdr:colOff>
      <xdr:row>25</xdr:row>
      <xdr:rowOff>155363</xdr:rowOff>
    </xdr:from>
    <xdr:to>
      <xdr:col>97</xdr:col>
      <xdr:colOff>118458</xdr:colOff>
      <xdr:row>26</xdr:row>
      <xdr:rowOff>35534</xdr:rowOff>
    </xdr:to>
    <xdr:cxnSp macro="">
      <xdr:nvCxnSpPr>
        <xdr:cNvPr id="229" name="直線コネクタ 228">
          <a:extLst>
            <a:ext uri="{FF2B5EF4-FFF2-40B4-BE49-F238E27FC236}">
              <a16:creationId xmlns:a16="http://schemas.microsoft.com/office/drawing/2014/main" id="{625A4BBD-6226-46FB-A1EC-F1BEEA145998}"/>
            </a:ext>
          </a:extLst>
        </xdr:cNvPr>
        <xdr:cNvCxnSpPr/>
      </xdr:nvCxnSpPr>
      <xdr:spPr>
        <a:xfrm>
          <a:off x="22292658" y="5883063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167734</xdr:colOff>
      <xdr:row>16</xdr:row>
      <xdr:rowOff>155798</xdr:rowOff>
    </xdr:from>
    <xdr:to>
      <xdr:col>103</xdr:col>
      <xdr:colOff>222766</xdr:colOff>
      <xdr:row>17</xdr:row>
      <xdr:rowOff>71921</xdr:rowOff>
    </xdr:to>
    <xdr:cxnSp macro="">
      <xdr:nvCxnSpPr>
        <xdr:cNvPr id="230" name="直線コネクタ 229">
          <a:extLst>
            <a:ext uri="{FF2B5EF4-FFF2-40B4-BE49-F238E27FC236}">
              <a16:creationId xmlns:a16="http://schemas.microsoft.com/office/drawing/2014/main" id="{A6B279FD-894F-4458-B909-CD0F593C7F8D}"/>
            </a:ext>
          </a:extLst>
        </xdr:cNvPr>
        <xdr:cNvCxnSpPr/>
      </xdr:nvCxnSpPr>
      <xdr:spPr>
        <a:xfrm>
          <a:off x="23256334" y="3826098"/>
          <a:ext cx="512232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225342</xdr:colOff>
      <xdr:row>17</xdr:row>
      <xdr:rowOff>48975</xdr:rowOff>
    </xdr:from>
    <xdr:to>
      <xdr:col>103</xdr:col>
      <xdr:colOff>151340</xdr:colOff>
      <xdr:row>26</xdr:row>
      <xdr:rowOff>132998</xdr:rowOff>
    </xdr:to>
    <xdr:cxnSp macro="">
      <xdr:nvCxnSpPr>
        <xdr:cNvPr id="231" name="直線コネクタ 230">
          <a:extLst>
            <a:ext uri="{FF2B5EF4-FFF2-40B4-BE49-F238E27FC236}">
              <a16:creationId xmlns:a16="http://schemas.microsoft.com/office/drawing/2014/main" id="{254DB26F-4B80-428A-9781-A7116CE524A1}"/>
            </a:ext>
          </a:extLst>
        </xdr:cNvPr>
        <xdr:cNvCxnSpPr/>
      </xdr:nvCxnSpPr>
      <xdr:spPr>
        <a:xfrm flipH="1">
          <a:off x="23085342" y="3947875"/>
          <a:ext cx="611798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12102</xdr:colOff>
      <xdr:row>25</xdr:row>
      <xdr:rowOff>227467</xdr:rowOff>
    </xdr:from>
    <xdr:to>
      <xdr:col>101</xdr:col>
      <xdr:colOff>2803</xdr:colOff>
      <xdr:row>26</xdr:row>
      <xdr:rowOff>132822</xdr:rowOff>
    </xdr:to>
    <xdr:cxnSp macro="">
      <xdr:nvCxnSpPr>
        <xdr:cNvPr id="232" name="直線コネクタ 231">
          <a:extLst>
            <a:ext uri="{FF2B5EF4-FFF2-40B4-BE49-F238E27FC236}">
              <a16:creationId xmlns:a16="http://schemas.microsoft.com/office/drawing/2014/main" id="{96B3A94A-0EF3-422A-90D8-409E6879AF74}"/>
            </a:ext>
          </a:extLst>
        </xdr:cNvPr>
        <xdr:cNvCxnSpPr/>
      </xdr:nvCxnSpPr>
      <xdr:spPr>
        <a:xfrm>
          <a:off x="22643502" y="5955167"/>
          <a:ext cx="447901" cy="133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102</xdr:col>
      <xdr:colOff>41861</xdr:colOff>
      <xdr:row>21</xdr:row>
      <xdr:rowOff>117793</xdr:rowOff>
    </xdr:from>
    <xdr:ext cx="242374" cy="271228"/>
    <xdr:sp macro="" textlink="">
      <xdr:nvSpPr>
        <xdr:cNvPr id="233" name="テキスト ボックス 232">
          <a:extLst>
            <a:ext uri="{FF2B5EF4-FFF2-40B4-BE49-F238E27FC236}">
              <a16:creationId xmlns:a16="http://schemas.microsoft.com/office/drawing/2014/main" id="{F18547BD-A363-4554-820D-D3E84BEB5604}"/>
            </a:ext>
          </a:extLst>
        </xdr:cNvPr>
        <xdr:cNvSpPr txBox="1"/>
      </xdr:nvSpPr>
      <xdr:spPr>
        <a:xfrm rot="17220000">
          <a:off x="23344634" y="4945520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101</xdr:col>
      <xdr:colOff>26093</xdr:colOff>
      <xdr:row>19</xdr:row>
      <xdr:rowOff>21912</xdr:rowOff>
    </xdr:from>
    <xdr:ext cx="242374" cy="582980"/>
    <xdr:sp macro="" textlink="">
      <xdr:nvSpPr>
        <xdr:cNvPr id="234" name="テキスト ボックス 233">
          <a:extLst>
            <a:ext uri="{FF2B5EF4-FFF2-40B4-BE49-F238E27FC236}">
              <a16:creationId xmlns:a16="http://schemas.microsoft.com/office/drawing/2014/main" id="{462DC629-8463-4A1C-B238-EB254A1A4EE4}"/>
            </a:ext>
          </a:extLst>
        </xdr:cNvPr>
        <xdr:cNvSpPr txBox="1"/>
      </xdr:nvSpPr>
      <xdr:spPr>
        <a:xfrm rot="17233223">
          <a:off x="22944390" y="4548315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99</xdr:col>
      <xdr:colOff>219959</xdr:colOff>
      <xdr:row>23</xdr:row>
      <xdr:rowOff>223571</xdr:rowOff>
    </xdr:from>
    <xdr:ext cx="242374" cy="305853"/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79B8924B-E2BD-45CC-9E54-356016964F54}"/>
            </a:ext>
          </a:extLst>
        </xdr:cNvPr>
        <xdr:cNvSpPr txBox="1"/>
      </xdr:nvSpPr>
      <xdr:spPr>
        <a:xfrm rot="17233223">
          <a:off x="22819619" y="5525811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142613</xdr:colOff>
      <xdr:row>21</xdr:row>
      <xdr:rowOff>144142</xdr:rowOff>
    </xdr:from>
    <xdr:to>
      <xdr:col>100</xdr:col>
      <xdr:colOff>212770</xdr:colOff>
      <xdr:row>26</xdr:row>
      <xdr:rowOff>33784</xdr:rowOff>
    </xdr:to>
    <xdr:cxnSp macro="">
      <xdr:nvCxnSpPr>
        <xdr:cNvPr id="236" name="直線コネクタ 235">
          <a:extLst>
            <a:ext uri="{FF2B5EF4-FFF2-40B4-BE49-F238E27FC236}">
              <a16:creationId xmlns:a16="http://schemas.microsoft.com/office/drawing/2014/main" id="{BB9276E9-31E0-4F01-B6A3-40FC5FA41732}"/>
            </a:ext>
          </a:extLst>
        </xdr:cNvPr>
        <xdr:cNvCxnSpPr/>
      </xdr:nvCxnSpPr>
      <xdr:spPr>
        <a:xfrm flipH="1">
          <a:off x="22774013" y="4957442"/>
          <a:ext cx="298757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215361</xdr:colOff>
      <xdr:row>16</xdr:row>
      <xdr:rowOff>208552</xdr:rowOff>
    </xdr:from>
    <xdr:to>
      <xdr:col>102</xdr:col>
      <xdr:colOff>63529</xdr:colOff>
      <xdr:row>21</xdr:row>
      <xdr:rowOff>146771</xdr:rowOff>
    </xdr:to>
    <xdr:cxnSp macro="">
      <xdr:nvCxnSpPr>
        <xdr:cNvPr id="237" name="直線コネクタ 236">
          <a:extLst>
            <a:ext uri="{FF2B5EF4-FFF2-40B4-BE49-F238E27FC236}">
              <a16:creationId xmlns:a16="http://schemas.microsoft.com/office/drawing/2014/main" id="{63370963-7D06-4209-997F-FA6D2063ED1D}"/>
            </a:ext>
          </a:extLst>
        </xdr:cNvPr>
        <xdr:cNvCxnSpPr/>
      </xdr:nvCxnSpPr>
      <xdr:spPr>
        <a:xfrm flipH="1">
          <a:off x="23075361" y="3878852"/>
          <a:ext cx="305368" cy="108121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58731</xdr:colOff>
      <xdr:row>21</xdr:row>
      <xdr:rowOff>97789</xdr:rowOff>
    </xdr:from>
    <xdr:to>
      <xdr:col>101</xdr:col>
      <xdr:colOff>78437</xdr:colOff>
      <xdr:row>21</xdr:row>
      <xdr:rowOff>163685</xdr:rowOff>
    </xdr:to>
    <xdr:cxnSp macro="">
      <xdr:nvCxnSpPr>
        <xdr:cNvPr id="238" name="直線コネクタ 237">
          <a:extLst>
            <a:ext uri="{FF2B5EF4-FFF2-40B4-BE49-F238E27FC236}">
              <a16:creationId xmlns:a16="http://schemas.microsoft.com/office/drawing/2014/main" id="{77FD740A-EBAF-4A7C-9434-62FF6FDCBA2F}"/>
            </a:ext>
          </a:extLst>
        </xdr:cNvPr>
        <xdr:cNvCxnSpPr/>
      </xdr:nvCxnSpPr>
      <xdr:spPr>
        <a:xfrm>
          <a:off x="22918731" y="4911089"/>
          <a:ext cx="248306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34845</xdr:colOff>
      <xdr:row>17</xdr:row>
      <xdr:rowOff>110654</xdr:rowOff>
    </xdr:from>
    <xdr:to>
      <xdr:col>100</xdr:col>
      <xdr:colOff>96979</xdr:colOff>
      <xdr:row>18</xdr:row>
      <xdr:rowOff>149847</xdr:rowOff>
    </xdr:to>
    <xdr:sp macro="" textlink="">
      <xdr:nvSpPr>
        <xdr:cNvPr id="239" name="円弧 238">
          <a:extLst>
            <a:ext uri="{FF2B5EF4-FFF2-40B4-BE49-F238E27FC236}">
              <a16:creationId xmlns:a16="http://schemas.microsoft.com/office/drawing/2014/main" id="{B4C71E1B-AEA8-4F61-AEE3-A4BD83CE37B9}"/>
            </a:ext>
          </a:extLst>
        </xdr:cNvPr>
        <xdr:cNvSpPr/>
      </xdr:nvSpPr>
      <xdr:spPr>
        <a:xfrm rot="11917365">
          <a:off x="22666245" y="4009554"/>
          <a:ext cx="290734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99</xdr:col>
      <xdr:colOff>195306</xdr:colOff>
      <xdr:row>16</xdr:row>
      <xdr:rowOff>10810</xdr:rowOff>
    </xdr:from>
    <xdr:to>
      <xdr:col>99</xdr:col>
      <xdr:colOff>195306</xdr:colOff>
      <xdr:row>18</xdr:row>
      <xdr:rowOff>216698</xdr:rowOff>
    </xdr:to>
    <xdr:cxnSp macro="">
      <xdr:nvCxnSpPr>
        <xdr:cNvPr id="240" name="直線コネクタ 239">
          <a:extLst>
            <a:ext uri="{FF2B5EF4-FFF2-40B4-BE49-F238E27FC236}">
              <a16:creationId xmlns:a16="http://schemas.microsoft.com/office/drawing/2014/main" id="{D31E5448-A5AC-404E-A8B0-0441AEF18DE1}"/>
            </a:ext>
          </a:extLst>
        </xdr:cNvPr>
        <xdr:cNvCxnSpPr/>
      </xdr:nvCxnSpPr>
      <xdr:spPr>
        <a:xfrm>
          <a:off x="22826706" y="3681110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99</xdr:col>
      <xdr:colOff>140932</xdr:colOff>
      <xdr:row>18</xdr:row>
      <xdr:rowOff>79654</xdr:rowOff>
    </xdr:from>
    <xdr:ext cx="365165" cy="242374"/>
    <xdr:sp macro="" textlink="">
      <xdr:nvSpPr>
        <xdr:cNvPr id="241" name="テキスト ボックス 240">
          <a:extLst>
            <a:ext uri="{FF2B5EF4-FFF2-40B4-BE49-F238E27FC236}">
              <a16:creationId xmlns:a16="http://schemas.microsoft.com/office/drawing/2014/main" id="{2B29DD06-3D6D-4374-B519-89DDFE0E934D}"/>
            </a:ext>
          </a:extLst>
        </xdr:cNvPr>
        <xdr:cNvSpPr txBox="1"/>
      </xdr:nvSpPr>
      <xdr:spPr>
        <a:xfrm>
          <a:off x="22772332" y="4207154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114391</xdr:colOff>
      <xdr:row>18</xdr:row>
      <xdr:rowOff>74952</xdr:rowOff>
    </xdr:from>
    <xdr:ext cx="386644" cy="224998"/>
    <xdr:sp macro="" textlink="$BB$33">
      <xdr:nvSpPr>
        <xdr:cNvPr id="242" name="テキスト ボックス 241">
          <a:extLst>
            <a:ext uri="{FF2B5EF4-FFF2-40B4-BE49-F238E27FC236}">
              <a16:creationId xmlns:a16="http://schemas.microsoft.com/office/drawing/2014/main" id="{D66E67CF-D459-4280-84EB-EC1F69C9CEF0}"/>
            </a:ext>
          </a:extLst>
        </xdr:cNvPr>
        <xdr:cNvSpPr txBox="1"/>
      </xdr:nvSpPr>
      <xdr:spPr>
        <a:xfrm>
          <a:off x="22974391" y="4202452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5C13236-0B3C-4CB4-B0C3-581C31C326B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104337</xdr:colOff>
      <xdr:row>15</xdr:row>
      <xdr:rowOff>132349</xdr:rowOff>
    </xdr:from>
    <xdr:ext cx="370486" cy="224998"/>
    <xdr:sp macro="" textlink="">
      <xdr:nvSpPr>
        <xdr:cNvPr id="243" name="テキスト ボックス 242">
          <a:extLst>
            <a:ext uri="{FF2B5EF4-FFF2-40B4-BE49-F238E27FC236}">
              <a16:creationId xmlns:a16="http://schemas.microsoft.com/office/drawing/2014/main" id="{CFC3A44F-6B2C-4AC8-B67F-E0FF7F824DFE}"/>
            </a:ext>
          </a:extLst>
        </xdr:cNvPr>
        <xdr:cNvSpPr txBox="1"/>
      </xdr:nvSpPr>
      <xdr:spPr>
        <a:xfrm rot="1181880">
          <a:off x="22964337" y="3574049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46552</xdr:colOff>
      <xdr:row>17</xdr:row>
      <xdr:rowOff>169116</xdr:rowOff>
    </xdr:from>
    <xdr:ext cx="447430" cy="224998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385D3552-278A-4081-9996-E3BB8901AE1E}"/>
            </a:ext>
          </a:extLst>
        </xdr:cNvPr>
        <xdr:cNvSpPr txBox="1"/>
      </xdr:nvSpPr>
      <xdr:spPr>
        <a:xfrm>
          <a:off x="22906552" y="4068016"/>
          <a:ext cx="44743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110882</xdr:colOff>
      <xdr:row>17</xdr:row>
      <xdr:rowOff>143594</xdr:rowOff>
    </xdr:from>
    <xdr:to>
      <xdr:col>100</xdr:col>
      <xdr:colOff>146773</xdr:colOff>
      <xdr:row>17</xdr:row>
      <xdr:rowOff>219955</xdr:rowOff>
    </xdr:to>
    <xdr:cxnSp macro="">
      <xdr:nvCxnSpPr>
        <xdr:cNvPr id="245" name="直線コネクタ 244">
          <a:extLst>
            <a:ext uri="{FF2B5EF4-FFF2-40B4-BE49-F238E27FC236}">
              <a16:creationId xmlns:a16="http://schemas.microsoft.com/office/drawing/2014/main" id="{0F19424F-31CB-412D-A672-A6F3045262F0}"/>
            </a:ext>
          </a:extLst>
        </xdr:cNvPr>
        <xdr:cNvCxnSpPr/>
      </xdr:nvCxnSpPr>
      <xdr:spPr>
        <a:xfrm flipH="1" flipV="1">
          <a:off x="22742282" y="4042494"/>
          <a:ext cx="264491" cy="76361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76689</xdr:colOff>
      <xdr:row>14</xdr:row>
      <xdr:rowOff>98809</xdr:rowOff>
    </xdr:from>
    <xdr:ext cx="444352" cy="224998"/>
    <xdr:sp macro="" textlink="'1.設計条件'!T7">
      <xdr:nvSpPr>
        <xdr:cNvPr id="246" name="テキスト ボックス 245">
          <a:extLst>
            <a:ext uri="{FF2B5EF4-FFF2-40B4-BE49-F238E27FC236}">
              <a16:creationId xmlns:a16="http://schemas.microsoft.com/office/drawing/2014/main" id="{24688847-08AE-4FBE-AFD3-FCFC1A8C1E85}"/>
            </a:ext>
          </a:extLst>
        </xdr:cNvPr>
        <xdr:cNvSpPr txBox="1"/>
      </xdr:nvSpPr>
      <xdr:spPr>
        <a:xfrm>
          <a:off x="22479489" y="331190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212635</xdr:colOff>
      <xdr:row>25</xdr:row>
      <xdr:rowOff>188798</xdr:rowOff>
    </xdr:from>
    <xdr:ext cx="444352" cy="224998"/>
    <xdr:sp macro="" textlink="'1.設計条件'!T9">
      <xdr:nvSpPr>
        <xdr:cNvPr id="247" name="テキスト ボックス 246">
          <a:extLst>
            <a:ext uri="{FF2B5EF4-FFF2-40B4-BE49-F238E27FC236}">
              <a16:creationId xmlns:a16="http://schemas.microsoft.com/office/drawing/2014/main" id="{52C06041-D6B7-4340-92AB-61F436EEF207}"/>
            </a:ext>
          </a:extLst>
        </xdr:cNvPr>
        <xdr:cNvSpPr txBox="1"/>
      </xdr:nvSpPr>
      <xdr:spPr>
        <a:xfrm>
          <a:off x="21929635" y="591649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46903</xdr:colOff>
      <xdr:row>16</xdr:row>
      <xdr:rowOff>12035</xdr:rowOff>
    </xdr:from>
    <xdr:to>
      <xdr:col>99</xdr:col>
      <xdr:colOff>206319</xdr:colOff>
      <xdr:row>16</xdr:row>
      <xdr:rowOff>12035</xdr:rowOff>
    </xdr:to>
    <xdr:cxnSp macro="">
      <xdr:nvCxnSpPr>
        <xdr:cNvPr id="248" name="直線コネクタ 247">
          <a:extLst>
            <a:ext uri="{FF2B5EF4-FFF2-40B4-BE49-F238E27FC236}">
              <a16:creationId xmlns:a16="http://schemas.microsoft.com/office/drawing/2014/main" id="{17ACE530-4741-4EBD-B6E2-AFCC988BD960}"/>
            </a:ext>
          </a:extLst>
        </xdr:cNvPr>
        <xdr:cNvCxnSpPr/>
      </xdr:nvCxnSpPr>
      <xdr:spPr>
        <a:xfrm>
          <a:off x="22449703" y="3682335"/>
          <a:ext cx="38801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147853</xdr:colOff>
      <xdr:row>16</xdr:row>
      <xdr:rowOff>8531</xdr:rowOff>
    </xdr:from>
    <xdr:to>
      <xdr:col>98</xdr:col>
      <xdr:colOff>46137</xdr:colOff>
      <xdr:row>25</xdr:row>
      <xdr:rowOff>10466</xdr:rowOff>
    </xdr:to>
    <xdr:cxnSp macro="">
      <xdr:nvCxnSpPr>
        <xdr:cNvPr id="249" name="直線コネクタ 248">
          <a:extLst>
            <a:ext uri="{FF2B5EF4-FFF2-40B4-BE49-F238E27FC236}">
              <a16:creationId xmlns:a16="http://schemas.microsoft.com/office/drawing/2014/main" id="{C3D1267B-C194-4853-8186-AAE4763B844B}"/>
            </a:ext>
          </a:extLst>
        </xdr:cNvPr>
        <xdr:cNvCxnSpPr/>
      </xdr:nvCxnSpPr>
      <xdr:spPr>
        <a:xfrm flipH="1">
          <a:off x="21864853" y="3678831"/>
          <a:ext cx="584084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105704</xdr:colOff>
      <xdr:row>25</xdr:row>
      <xdr:rowOff>14820</xdr:rowOff>
    </xdr:from>
    <xdr:to>
      <xdr:col>97</xdr:col>
      <xdr:colOff>108520</xdr:colOff>
      <xdr:row>25</xdr:row>
      <xdr:rowOff>122820</xdr:rowOff>
    </xdr:to>
    <xdr:sp macro="" textlink="">
      <xdr:nvSpPr>
        <xdr:cNvPr id="250" name="正方形/長方形 249">
          <a:extLst>
            <a:ext uri="{FF2B5EF4-FFF2-40B4-BE49-F238E27FC236}">
              <a16:creationId xmlns:a16="http://schemas.microsoft.com/office/drawing/2014/main" id="{8E7663EE-0D38-4BB2-AB1C-193A66CC8F8C}"/>
            </a:ext>
          </a:extLst>
        </xdr:cNvPr>
        <xdr:cNvSpPr/>
      </xdr:nvSpPr>
      <xdr:spPr>
        <a:xfrm>
          <a:off x="21822704" y="5742520"/>
          <a:ext cx="46001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96</xdr:col>
      <xdr:colOff>216913</xdr:colOff>
      <xdr:row>16</xdr:row>
      <xdr:rowOff>135508</xdr:rowOff>
    </xdr:from>
    <xdr:to>
      <xdr:col>99</xdr:col>
      <xdr:colOff>82824</xdr:colOff>
      <xdr:row>25</xdr:row>
      <xdr:rowOff>10875</xdr:rowOff>
    </xdr:to>
    <xdr:cxnSp macro="">
      <xdr:nvCxnSpPr>
        <xdr:cNvPr id="251" name="直線コネクタ 250">
          <a:extLst>
            <a:ext uri="{FF2B5EF4-FFF2-40B4-BE49-F238E27FC236}">
              <a16:creationId xmlns:a16="http://schemas.microsoft.com/office/drawing/2014/main" id="{AD0622C3-523A-415C-BCD8-DD21F15226AF}"/>
            </a:ext>
          </a:extLst>
        </xdr:cNvPr>
        <xdr:cNvCxnSpPr/>
      </xdr:nvCxnSpPr>
      <xdr:spPr>
        <a:xfrm flipH="1">
          <a:off x="22162513" y="3805808"/>
          <a:ext cx="551711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20050</xdr:colOff>
      <xdr:row>23</xdr:row>
      <xdr:rowOff>116538</xdr:rowOff>
    </xdr:from>
    <xdr:to>
      <xdr:col>97</xdr:col>
      <xdr:colOff>93369</xdr:colOff>
      <xdr:row>23</xdr:row>
      <xdr:rowOff>116538</xdr:rowOff>
    </xdr:to>
    <xdr:cxnSp macro="">
      <xdr:nvCxnSpPr>
        <xdr:cNvPr id="252" name="直線コネクタ 251">
          <a:extLst>
            <a:ext uri="{FF2B5EF4-FFF2-40B4-BE49-F238E27FC236}">
              <a16:creationId xmlns:a16="http://schemas.microsoft.com/office/drawing/2014/main" id="{5E4DFEC2-DCC5-4B50-B403-295FA2FC1329}"/>
            </a:ext>
          </a:extLst>
        </xdr:cNvPr>
        <xdr:cNvCxnSpPr/>
      </xdr:nvCxnSpPr>
      <xdr:spPr>
        <a:xfrm>
          <a:off x="21965650" y="5387038"/>
          <a:ext cx="30191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120199</xdr:colOff>
      <xdr:row>22</xdr:row>
      <xdr:rowOff>3326</xdr:rowOff>
    </xdr:from>
    <xdr:to>
      <xdr:col>97</xdr:col>
      <xdr:colOff>191342</xdr:colOff>
      <xdr:row>22</xdr:row>
      <xdr:rowOff>3326</xdr:rowOff>
    </xdr:to>
    <xdr:cxnSp macro="">
      <xdr:nvCxnSpPr>
        <xdr:cNvPr id="253" name="直線コネクタ 252">
          <a:extLst>
            <a:ext uri="{FF2B5EF4-FFF2-40B4-BE49-F238E27FC236}">
              <a16:creationId xmlns:a16="http://schemas.microsoft.com/office/drawing/2014/main" id="{04045A09-7DF0-4F7C-B049-CA12A264A389}"/>
            </a:ext>
          </a:extLst>
        </xdr:cNvPr>
        <xdr:cNvCxnSpPr/>
      </xdr:nvCxnSpPr>
      <xdr:spPr>
        <a:xfrm>
          <a:off x="22065799" y="5045226"/>
          <a:ext cx="29974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213816</xdr:colOff>
      <xdr:row>20</xdr:row>
      <xdr:rowOff>112184</xdr:rowOff>
    </xdr:from>
    <xdr:to>
      <xdr:col>98</xdr:col>
      <xdr:colOff>56722</xdr:colOff>
      <xdr:row>20</xdr:row>
      <xdr:rowOff>112184</xdr:rowOff>
    </xdr:to>
    <xdr:cxnSp macro="">
      <xdr:nvCxnSpPr>
        <xdr:cNvPr id="254" name="直線コネクタ 253">
          <a:extLst>
            <a:ext uri="{FF2B5EF4-FFF2-40B4-BE49-F238E27FC236}">
              <a16:creationId xmlns:a16="http://schemas.microsoft.com/office/drawing/2014/main" id="{F99A1185-23B6-46A2-91AB-FFDF8FC40057}"/>
            </a:ext>
          </a:extLst>
        </xdr:cNvPr>
        <xdr:cNvCxnSpPr/>
      </xdr:nvCxnSpPr>
      <xdr:spPr>
        <a:xfrm>
          <a:off x="22159416" y="4696884"/>
          <a:ext cx="3001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87904</xdr:colOff>
      <xdr:row>18</xdr:row>
      <xdr:rowOff>216686</xdr:rowOff>
    </xdr:from>
    <xdr:to>
      <xdr:col>98</xdr:col>
      <xdr:colOff>167574</xdr:colOff>
      <xdr:row>18</xdr:row>
      <xdr:rowOff>216686</xdr:rowOff>
    </xdr:to>
    <xdr:cxnSp macro="">
      <xdr:nvCxnSpPr>
        <xdr:cNvPr id="255" name="直線コネクタ 254">
          <a:extLst>
            <a:ext uri="{FF2B5EF4-FFF2-40B4-BE49-F238E27FC236}">
              <a16:creationId xmlns:a16="http://schemas.microsoft.com/office/drawing/2014/main" id="{7E5ECE9D-8E06-46CD-8B58-5E89BBCD1F59}"/>
            </a:ext>
          </a:extLst>
        </xdr:cNvPr>
        <xdr:cNvCxnSpPr/>
      </xdr:nvCxnSpPr>
      <xdr:spPr>
        <a:xfrm>
          <a:off x="22262104" y="4344186"/>
          <a:ext cx="30827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194584</xdr:colOff>
      <xdr:row>17</xdr:row>
      <xdr:rowOff>99120</xdr:rowOff>
    </xdr:from>
    <xdr:to>
      <xdr:col>99</xdr:col>
      <xdr:colOff>37489</xdr:colOff>
      <xdr:row>17</xdr:row>
      <xdr:rowOff>99120</xdr:rowOff>
    </xdr:to>
    <xdr:cxnSp macro="">
      <xdr:nvCxnSpPr>
        <xdr:cNvPr id="256" name="直線コネクタ 255">
          <a:extLst>
            <a:ext uri="{FF2B5EF4-FFF2-40B4-BE49-F238E27FC236}">
              <a16:creationId xmlns:a16="http://schemas.microsoft.com/office/drawing/2014/main" id="{F391CC7D-B644-4881-87FE-A0419D305BFF}"/>
            </a:ext>
          </a:extLst>
        </xdr:cNvPr>
        <xdr:cNvCxnSpPr/>
      </xdr:nvCxnSpPr>
      <xdr:spPr>
        <a:xfrm>
          <a:off x="22368784" y="3998020"/>
          <a:ext cx="3001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2950</xdr:colOff>
      <xdr:row>16</xdr:row>
      <xdr:rowOff>130009</xdr:rowOff>
    </xdr:from>
    <xdr:to>
      <xdr:col>99</xdr:col>
      <xdr:colOff>178822</xdr:colOff>
      <xdr:row>16</xdr:row>
      <xdr:rowOff>134491</xdr:rowOff>
    </xdr:to>
    <xdr:cxnSp macro="">
      <xdr:nvCxnSpPr>
        <xdr:cNvPr id="257" name="直線コネクタ 256">
          <a:extLst>
            <a:ext uri="{FF2B5EF4-FFF2-40B4-BE49-F238E27FC236}">
              <a16:creationId xmlns:a16="http://schemas.microsoft.com/office/drawing/2014/main" id="{7A44D870-5F89-414A-B06D-B7F52A0535E5}"/>
            </a:ext>
          </a:extLst>
        </xdr:cNvPr>
        <xdr:cNvCxnSpPr/>
      </xdr:nvCxnSpPr>
      <xdr:spPr>
        <a:xfrm>
          <a:off x="22405750" y="3800309"/>
          <a:ext cx="404472" cy="448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60604</xdr:colOff>
      <xdr:row>17</xdr:row>
      <xdr:rowOff>160592</xdr:rowOff>
    </xdr:from>
    <xdr:ext cx="444352" cy="224998"/>
    <xdr:sp macro="" textlink="$AZ$8">
      <xdr:nvSpPr>
        <xdr:cNvPr id="258" name="テキスト ボックス 257">
          <a:extLst>
            <a:ext uri="{FF2B5EF4-FFF2-40B4-BE49-F238E27FC236}">
              <a16:creationId xmlns:a16="http://schemas.microsoft.com/office/drawing/2014/main" id="{85E069AB-8CA3-46B2-9AFA-E26571ECF1AB}"/>
            </a:ext>
          </a:extLst>
        </xdr:cNvPr>
        <xdr:cNvSpPr txBox="1"/>
      </xdr:nvSpPr>
      <xdr:spPr>
        <a:xfrm>
          <a:off x="23254631" y="408019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2A372D1-6EA6-435E-AC83-F1DFE8018D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9.833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199538</xdr:colOff>
      <xdr:row>19</xdr:row>
      <xdr:rowOff>15026</xdr:rowOff>
    </xdr:from>
    <xdr:ext cx="242374" cy="444352"/>
    <xdr:sp macro="" textlink="$AP$10">
      <xdr:nvSpPr>
        <xdr:cNvPr id="259" name="テキスト ボックス 258">
          <a:extLst>
            <a:ext uri="{FF2B5EF4-FFF2-40B4-BE49-F238E27FC236}">
              <a16:creationId xmlns:a16="http://schemas.microsoft.com/office/drawing/2014/main" id="{9F53390B-BBF4-444E-BC8D-3C55C9C2E76D}"/>
            </a:ext>
          </a:extLst>
        </xdr:cNvPr>
        <xdr:cNvSpPr txBox="1"/>
      </xdr:nvSpPr>
      <xdr:spPr>
        <a:xfrm rot="17233223">
          <a:off x="23187149" y="4472115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140392</xdr:colOff>
      <xdr:row>20</xdr:row>
      <xdr:rowOff>66608</xdr:rowOff>
    </xdr:from>
    <xdr:ext cx="242374" cy="249748"/>
    <xdr:sp macro="" textlink="$AP$10">
      <xdr:nvSpPr>
        <xdr:cNvPr id="260" name="テキスト ボックス 259">
          <a:extLst>
            <a:ext uri="{FF2B5EF4-FFF2-40B4-BE49-F238E27FC236}">
              <a16:creationId xmlns:a16="http://schemas.microsoft.com/office/drawing/2014/main" id="{F79A55D2-27DE-463D-85F5-0E7B69AAEC66}"/>
            </a:ext>
          </a:extLst>
        </xdr:cNvPr>
        <xdr:cNvSpPr txBox="1"/>
      </xdr:nvSpPr>
      <xdr:spPr>
        <a:xfrm rot="17233223">
          <a:off x="23225305" y="4654995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62380</xdr:colOff>
      <xdr:row>21</xdr:row>
      <xdr:rowOff>20888</xdr:rowOff>
    </xdr:from>
    <xdr:ext cx="242374" cy="249748"/>
    <xdr:sp macro="" textlink="$AP$10">
      <xdr:nvSpPr>
        <xdr:cNvPr id="261" name="テキスト ボックス 260">
          <a:extLst>
            <a:ext uri="{FF2B5EF4-FFF2-40B4-BE49-F238E27FC236}">
              <a16:creationId xmlns:a16="http://schemas.microsoft.com/office/drawing/2014/main" id="{AC658C65-560C-46B4-BEE6-5990E7B5E0B8}"/>
            </a:ext>
          </a:extLst>
        </xdr:cNvPr>
        <xdr:cNvSpPr txBox="1"/>
      </xdr:nvSpPr>
      <xdr:spPr>
        <a:xfrm rot="17233223">
          <a:off x="23375893" y="4837875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115718</xdr:colOff>
      <xdr:row>19</xdr:row>
      <xdr:rowOff>182666</xdr:rowOff>
    </xdr:from>
    <xdr:ext cx="242374" cy="444352"/>
    <xdr:sp macro="" textlink="$AP$8">
      <xdr:nvSpPr>
        <xdr:cNvPr id="262" name="テキスト ボックス 261">
          <a:extLst>
            <a:ext uri="{FF2B5EF4-FFF2-40B4-BE49-F238E27FC236}">
              <a16:creationId xmlns:a16="http://schemas.microsoft.com/office/drawing/2014/main" id="{A58CCE48-E7E8-44BA-A924-3AB71A151230}"/>
            </a:ext>
          </a:extLst>
        </xdr:cNvPr>
        <xdr:cNvSpPr txBox="1"/>
      </xdr:nvSpPr>
      <xdr:spPr>
        <a:xfrm rot="17233223">
          <a:off x="23331929" y="4639755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73542</xdr:colOff>
      <xdr:row>16</xdr:row>
      <xdr:rowOff>1096</xdr:rowOff>
    </xdr:from>
    <xdr:ext cx="444352" cy="224998"/>
    <xdr:sp macro="" textlink="$AZ$9">
      <xdr:nvSpPr>
        <xdr:cNvPr id="263" name="テキスト ボックス 262">
          <a:extLst>
            <a:ext uri="{FF2B5EF4-FFF2-40B4-BE49-F238E27FC236}">
              <a16:creationId xmlns:a16="http://schemas.microsoft.com/office/drawing/2014/main" id="{394B4460-53E1-4222-9AFD-977510038A41}"/>
            </a:ext>
          </a:extLst>
        </xdr:cNvPr>
        <xdr:cNvSpPr txBox="1"/>
      </xdr:nvSpPr>
      <xdr:spPr>
        <a:xfrm rot="1249213">
          <a:off x="23162142" y="36713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9354638-FF5F-4867-97D4-49CAAA1229B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4.989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131418</xdr:colOff>
      <xdr:row>15</xdr:row>
      <xdr:rowOff>27882</xdr:rowOff>
    </xdr:from>
    <xdr:to>
      <xdr:col>95</xdr:col>
      <xdr:colOff>206815</xdr:colOff>
      <xdr:row>19</xdr:row>
      <xdr:rowOff>172721</xdr:rowOff>
    </xdr:to>
    <xdr:cxnSp macro="">
      <xdr:nvCxnSpPr>
        <xdr:cNvPr id="264" name="直線コネクタ 263">
          <a:extLst>
            <a:ext uri="{FF2B5EF4-FFF2-40B4-BE49-F238E27FC236}">
              <a16:creationId xmlns:a16="http://schemas.microsoft.com/office/drawing/2014/main" id="{76D3A746-A46A-4D4B-A81E-75F0B4868F89}"/>
            </a:ext>
          </a:extLst>
        </xdr:cNvPr>
        <xdr:cNvCxnSpPr/>
      </xdr:nvCxnSpPr>
      <xdr:spPr>
        <a:xfrm flipH="1">
          <a:off x="21619818" y="3469582"/>
          <a:ext cx="303997" cy="1059239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96389</xdr:colOff>
      <xdr:row>19</xdr:row>
      <xdr:rowOff>154405</xdr:rowOff>
    </xdr:from>
    <xdr:to>
      <xdr:col>95</xdr:col>
      <xdr:colOff>69126</xdr:colOff>
      <xdr:row>19</xdr:row>
      <xdr:rowOff>210194</xdr:rowOff>
    </xdr:to>
    <xdr:cxnSp macro="">
      <xdr:nvCxnSpPr>
        <xdr:cNvPr id="265" name="直線コネクタ 264">
          <a:extLst>
            <a:ext uri="{FF2B5EF4-FFF2-40B4-BE49-F238E27FC236}">
              <a16:creationId xmlns:a16="http://schemas.microsoft.com/office/drawing/2014/main" id="{BEBFA5AC-781E-4713-AC9D-D081F6B8E33F}"/>
            </a:ext>
          </a:extLst>
        </xdr:cNvPr>
        <xdr:cNvCxnSpPr/>
      </xdr:nvCxnSpPr>
      <xdr:spPr>
        <a:xfrm>
          <a:off x="21584789" y="4510505"/>
          <a:ext cx="201337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159807</xdr:colOff>
      <xdr:row>15</xdr:row>
      <xdr:rowOff>7198</xdr:rowOff>
    </xdr:from>
    <xdr:to>
      <xdr:col>96</xdr:col>
      <xdr:colOff>127499</xdr:colOff>
      <xdr:row>15</xdr:row>
      <xdr:rowOff>60999</xdr:rowOff>
    </xdr:to>
    <xdr:cxnSp macro="">
      <xdr:nvCxnSpPr>
        <xdr:cNvPr id="266" name="直線コネクタ 265">
          <a:extLst>
            <a:ext uri="{FF2B5EF4-FFF2-40B4-BE49-F238E27FC236}">
              <a16:creationId xmlns:a16="http://schemas.microsoft.com/office/drawing/2014/main" id="{889B7803-4703-4068-BDB1-AE42CEA48C31}"/>
            </a:ext>
          </a:extLst>
        </xdr:cNvPr>
        <xdr:cNvCxnSpPr/>
      </xdr:nvCxnSpPr>
      <xdr:spPr>
        <a:xfrm>
          <a:off x="21876807" y="3448898"/>
          <a:ext cx="196292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41356</xdr:colOff>
      <xdr:row>17</xdr:row>
      <xdr:rowOff>42442</xdr:rowOff>
    </xdr:from>
    <xdr:ext cx="224998" cy="286297"/>
    <xdr:sp macro="" textlink="">
      <xdr:nvSpPr>
        <xdr:cNvPr id="267" name="テキスト ボックス 266">
          <a:extLst>
            <a:ext uri="{FF2B5EF4-FFF2-40B4-BE49-F238E27FC236}">
              <a16:creationId xmlns:a16="http://schemas.microsoft.com/office/drawing/2014/main" id="{310EAE6A-9B73-42D4-8255-BA3F9B40186C}"/>
            </a:ext>
          </a:extLst>
        </xdr:cNvPr>
        <xdr:cNvSpPr txBox="1"/>
      </xdr:nvSpPr>
      <xdr:spPr>
        <a:xfrm rot="17233223">
          <a:off x="21499106" y="3971992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95</xdr:col>
      <xdr:colOff>198778</xdr:colOff>
      <xdr:row>23</xdr:row>
      <xdr:rowOff>92107</xdr:rowOff>
    </xdr:from>
    <xdr:to>
      <xdr:col>96</xdr:col>
      <xdr:colOff>19082</xdr:colOff>
      <xdr:row>23</xdr:row>
      <xdr:rowOff>144941</xdr:rowOff>
    </xdr:to>
    <xdr:sp macro="" textlink="">
      <xdr:nvSpPr>
        <xdr:cNvPr id="268" name="楕円 267">
          <a:extLst>
            <a:ext uri="{FF2B5EF4-FFF2-40B4-BE49-F238E27FC236}">
              <a16:creationId xmlns:a16="http://schemas.microsoft.com/office/drawing/2014/main" id="{D3306D86-AA51-428E-A4A1-5526515BD477}"/>
            </a:ext>
          </a:extLst>
        </xdr:cNvPr>
        <xdr:cNvSpPr/>
      </xdr:nvSpPr>
      <xdr:spPr>
        <a:xfrm>
          <a:off x="21915778" y="5362607"/>
          <a:ext cx="48904" cy="52834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95</xdr:col>
      <xdr:colOff>224735</xdr:colOff>
      <xdr:row>16</xdr:row>
      <xdr:rowOff>110556</xdr:rowOff>
    </xdr:from>
    <xdr:to>
      <xdr:col>99</xdr:col>
      <xdr:colOff>81170</xdr:colOff>
      <xdr:row>16</xdr:row>
      <xdr:rowOff>110556</xdr:rowOff>
    </xdr:to>
    <xdr:cxnSp macro="">
      <xdr:nvCxnSpPr>
        <xdr:cNvPr id="269" name="直線コネクタ 268">
          <a:extLst>
            <a:ext uri="{FF2B5EF4-FFF2-40B4-BE49-F238E27FC236}">
              <a16:creationId xmlns:a16="http://schemas.microsoft.com/office/drawing/2014/main" id="{C8A60CB3-6AAE-43E8-AAE1-8D6F38B42FFE}"/>
            </a:ext>
          </a:extLst>
        </xdr:cNvPr>
        <xdr:cNvCxnSpPr/>
      </xdr:nvCxnSpPr>
      <xdr:spPr>
        <a:xfrm>
          <a:off x="21941735" y="3780856"/>
          <a:ext cx="770835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83234</xdr:colOff>
      <xdr:row>16</xdr:row>
      <xdr:rowOff>76068</xdr:rowOff>
    </xdr:from>
    <xdr:to>
      <xdr:col>99</xdr:col>
      <xdr:colOff>83234</xdr:colOff>
      <xdr:row>17</xdr:row>
      <xdr:rowOff>5178</xdr:rowOff>
    </xdr:to>
    <xdr:cxnSp macro="">
      <xdr:nvCxnSpPr>
        <xdr:cNvPr id="270" name="直線コネクタ 269">
          <a:extLst>
            <a:ext uri="{FF2B5EF4-FFF2-40B4-BE49-F238E27FC236}">
              <a16:creationId xmlns:a16="http://schemas.microsoft.com/office/drawing/2014/main" id="{E61DE743-674D-42A3-A44C-4C29A34E5E17}"/>
            </a:ext>
          </a:extLst>
        </xdr:cNvPr>
        <xdr:cNvCxnSpPr/>
      </xdr:nvCxnSpPr>
      <xdr:spPr>
        <a:xfrm>
          <a:off x="22714634" y="3746368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220056</xdr:colOff>
      <xdr:row>16</xdr:row>
      <xdr:rowOff>38807</xdr:rowOff>
    </xdr:from>
    <xdr:to>
      <xdr:col>95</xdr:col>
      <xdr:colOff>220056</xdr:colOff>
      <xdr:row>17</xdr:row>
      <xdr:rowOff>25555</xdr:rowOff>
    </xdr:to>
    <xdr:cxnSp macro="">
      <xdr:nvCxnSpPr>
        <xdr:cNvPr id="271" name="直線コネクタ 270">
          <a:extLst>
            <a:ext uri="{FF2B5EF4-FFF2-40B4-BE49-F238E27FC236}">
              <a16:creationId xmlns:a16="http://schemas.microsoft.com/office/drawing/2014/main" id="{CB266C87-EC30-460C-889C-02BD982B8EEE}"/>
            </a:ext>
          </a:extLst>
        </xdr:cNvPr>
        <xdr:cNvCxnSpPr/>
      </xdr:nvCxnSpPr>
      <xdr:spPr>
        <a:xfrm flipV="1">
          <a:off x="21937056" y="3709107"/>
          <a:ext cx="0" cy="215348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97</xdr:col>
      <xdr:colOff>36464</xdr:colOff>
      <xdr:row>15</xdr:row>
      <xdr:rowOff>176301</xdr:rowOff>
    </xdr:from>
    <xdr:ext cx="316049" cy="224998"/>
    <xdr:sp macro="" textlink="">
      <xdr:nvSpPr>
        <xdr:cNvPr id="272" name="テキスト ボックス 271">
          <a:extLst>
            <a:ext uri="{FF2B5EF4-FFF2-40B4-BE49-F238E27FC236}">
              <a16:creationId xmlns:a16="http://schemas.microsoft.com/office/drawing/2014/main" id="{4E078E40-AC1D-44EA-81CA-2BCE047E4D6A}"/>
            </a:ext>
          </a:extLst>
        </xdr:cNvPr>
        <xdr:cNvSpPr txBox="1"/>
      </xdr:nvSpPr>
      <xdr:spPr>
        <a:xfrm>
          <a:off x="22210664" y="3618001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153511</xdr:colOff>
      <xdr:row>17</xdr:row>
      <xdr:rowOff>154764</xdr:rowOff>
    </xdr:from>
    <xdr:to>
      <xdr:col>95</xdr:col>
      <xdr:colOff>153511</xdr:colOff>
      <xdr:row>23</xdr:row>
      <xdr:rowOff>118321</xdr:rowOff>
    </xdr:to>
    <xdr:cxnSp macro="">
      <xdr:nvCxnSpPr>
        <xdr:cNvPr id="273" name="直線コネクタ 272">
          <a:extLst>
            <a:ext uri="{FF2B5EF4-FFF2-40B4-BE49-F238E27FC236}">
              <a16:creationId xmlns:a16="http://schemas.microsoft.com/office/drawing/2014/main" id="{AFC3E1E2-E40A-4DBA-8054-0E8950AB4D2E}"/>
            </a:ext>
          </a:extLst>
        </xdr:cNvPr>
        <xdr:cNvCxnSpPr/>
      </xdr:nvCxnSpPr>
      <xdr:spPr>
        <a:xfrm>
          <a:off x="21870511" y="4053664"/>
          <a:ext cx="0" cy="1335157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98839</xdr:colOff>
      <xdr:row>17</xdr:row>
      <xdr:rowOff>142570</xdr:rowOff>
    </xdr:from>
    <xdr:to>
      <xdr:col>99</xdr:col>
      <xdr:colOff>14849</xdr:colOff>
      <xdr:row>17</xdr:row>
      <xdr:rowOff>142570</xdr:rowOff>
    </xdr:to>
    <xdr:cxnSp macro="">
      <xdr:nvCxnSpPr>
        <xdr:cNvPr id="274" name="直線コネクタ 273">
          <a:extLst>
            <a:ext uri="{FF2B5EF4-FFF2-40B4-BE49-F238E27FC236}">
              <a16:creationId xmlns:a16="http://schemas.microsoft.com/office/drawing/2014/main" id="{5B1643AB-F1D3-4361-B535-738F1CB92EA9}"/>
            </a:ext>
          </a:extLst>
        </xdr:cNvPr>
        <xdr:cNvCxnSpPr/>
      </xdr:nvCxnSpPr>
      <xdr:spPr>
        <a:xfrm>
          <a:off x="21815839" y="4041470"/>
          <a:ext cx="830410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175412</xdr:colOff>
      <xdr:row>20</xdr:row>
      <xdr:rowOff>179420</xdr:rowOff>
    </xdr:from>
    <xdr:ext cx="224998" cy="316049"/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55293243-35B8-4FD0-9294-1C8805F1BCCE}"/>
            </a:ext>
          </a:extLst>
        </xdr:cNvPr>
        <xdr:cNvSpPr txBox="1"/>
      </xdr:nvSpPr>
      <xdr:spPr>
        <a:xfrm rot="16200000">
          <a:off x="21618286" y="4809646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93</xdr:col>
      <xdr:colOff>171926</xdr:colOff>
      <xdr:row>16</xdr:row>
      <xdr:rowOff>23107</xdr:rowOff>
    </xdr:from>
    <xdr:to>
      <xdr:col>93</xdr:col>
      <xdr:colOff>171926</xdr:colOff>
      <xdr:row>20</xdr:row>
      <xdr:rowOff>214399</xdr:rowOff>
    </xdr:to>
    <xdr:cxnSp macro="">
      <xdr:nvCxnSpPr>
        <xdr:cNvPr id="276" name="直線コネクタ 275">
          <a:extLst>
            <a:ext uri="{FF2B5EF4-FFF2-40B4-BE49-F238E27FC236}">
              <a16:creationId xmlns:a16="http://schemas.microsoft.com/office/drawing/2014/main" id="{78E9A6FF-9282-4C5E-9888-BA2616D5FDDC}"/>
            </a:ext>
          </a:extLst>
        </xdr:cNvPr>
        <xdr:cNvCxnSpPr/>
      </xdr:nvCxnSpPr>
      <xdr:spPr>
        <a:xfrm>
          <a:off x="21431726" y="3693407"/>
          <a:ext cx="0" cy="1105692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92</xdr:col>
      <xdr:colOff>204388</xdr:colOff>
      <xdr:row>18</xdr:row>
      <xdr:rowOff>78086</xdr:rowOff>
    </xdr:from>
    <xdr:ext cx="224998" cy="290464"/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8110E7D3-70A4-4E4B-87FB-F43B5C0FCA91}"/>
            </a:ext>
          </a:extLst>
        </xdr:cNvPr>
        <xdr:cNvSpPr txBox="1"/>
      </xdr:nvSpPr>
      <xdr:spPr>
        <a:xfrm rot="16200000">
          <a:off x="21202855" y="4238319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92</xdr:col>
      <xdr:colOff>90557</xdr:colOff>
      <xdr:row>23</xdr:row>
      <xdr:rowOff>118771</xdr:rowOff>
    </xdr:from>
    <xdr:to>
      <xdr:col>95</xdr:col>
      <xdr:colOff>158472</xdr:colOff>
      <xdr:row>23</xdr:row>
      <xdr:rowOff>118771</xdr:rowOff>
    </xdr:to>
    <xdr:cxnSp macro="">
      <xdr:nvCxnSpPr>
        <xdr:cNvPr id="278" name="直線コネクタ 277">
          <a:extLst>
            <a:ext uri="{FF2B5EF4-FFF2-40B4-BE49-F238E27FC236}">
              <a16:creationId xmlns:a16="http://schemas.microsoft.com/office/drawing/2014/main" id="{F1490DCF-F824-47BC-BFA4-FF071921FF1A}"/>
            </a:ext>
          </a:extLst>
        </xdr:cNvPr>
        <xdr:cNvCxnSpPr/>
      </xdr:nvCxnSpPr>
      <xdr:spPr>
        <a:xfrm>
          <a:off x="21121757" y="5389271"/>
          <a:ext cx="753715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176742</xdr:colOff>
      <xdr:row>19</xdr:row>
      <xdr:rowOff>93693</xdr:rowOff>
    </xdr:from>
    <xdr:to>
      <xdr:col>31</xdr:col>
      <xdr:colOff>176742</xdr:colOff>
      <xdr:row>25</xdr:row>
      <xdr:rowOff>54093</xdr:rowOff>
    </xdr:to>
    <xdr:cxnSp macro="">
      <xdr:nvCxnSpPr>
        <xdr:cNvPr id="280" name="直線コネクタ 279">
          <a:extLst>
            <a:ext uri="{FF2B5EF4-FFF2-40B4-BE49-F238E27FC236}">
              <a16:creationId xmlns:a16="http://schemas.microsoft.com/office/drawing/2014/main" id="{0D9EFB0A-82D3-4117-AC70-56962EEE7D07}"/>
            </a:ext>
          </a:extLst>
        </xdr:cNvPr>
        <xdr:cNvCxnSpPr/>
      </xdr:nvCxnSpPr>
      <xdr:spPr>
        <a:xfrm>
          <a:off x="7263342" y="4452333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131445</xdr:colOff>
      <xdr:row>19</xdr:row>
      <xdr:rowOff>92484</xdr:rowOff>
    </xdr:from>
    <xdr:to>
      <xdr:col>32</xdr:col>
      <xdr:colOff>216877</xdr:colOff>
      <xdr:row>19</xdr:row>
      <xdr:rowOff>92484</xdr:rowOff>
    </xdr:to>
    <xdr:cxnSp macro="">
      <xdr:nvCxnSpPr>
        <xdr:cNvPr id="281" name="直線コネクタ 280">
          <a:extLst>
            <a:ext uri="{FF2B5EF4-FFF2-40B4-BE49-F238E27FC236}">
              <a16:creationId xmlns:a16="http://schemas.microsoft.com/office/drawing/2014/main" id="{4B997F9C-3DD1-4036-9D0F-9915C340A9D6}"/>
            </a:ext>
          </a:extLst>
        </xdr:cNvPr>
        <xdr:cNvCxnSpPr/>
      </xdr:nvCxnSpPr>
      <xdr:spPr>
        <a:xfrm>
          <a:off x="5389245" y="4451124"/>
          <a:ext cx="214283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110371</xdr:colOff>
      <xdr:row>19</xdr:row>
      <xdr:rowOff>119326</xdr:rowOff>
    </xdr:from>
    <xdr:to>
      <xdr:col>31</xdr:col>
      <xdr:colOff>49975</xdr:colOff>
      <xdr:row>19</xdr:row>
      <xdr:rowOff>119326</xdr:rowOff>
    </xdr:to>
    <xdr:cxnSp macro="">
      <xdr:nvCxnSpPr>
        <xdr:cNvPr id="282" name="直線コネクタ 281">
          <a:extLst>
            <a:ext uri="{FF2B5EF4-FFF2-40B4-BE49-F238E27FC236}">
              <a16:creationId xmlns:a16="http://schemas.microsoft.com/office/drawing/2014/main" id="{0BE63B01-9576-481C-A4CE-54530FA1D531}"/>
            </a:ext>
          </a:extLst>
        </xdr:cNvPr>
        <xdr:cNvCxnSpPr/>
      </xdr:nvCxnSpPr>
      <xdr:spPr>
        <a:xfrm>
          <a:off x="6968371" y="4477966"/>
          <a:ext cx="16820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173832</xdr:colOff>
      <xdr:row>19</xdr:row>
      <xdr:rowOff>170899</xdr:rowOff>
    </xdr:from>
    <xdr:to>
      <xdr:col>30</xdr:col>
      <xdr:colOff>216610</xdr:colOff>
      <xdr:row>19</xdr:row>
      <xdr:rowOff>170899</xdr:rowOff>
    </xdr:to>
    <xdr:cxnSp macro="">
      <xdr:nvCxnSpPr>
        <xdr:cNvPr id="283" name="直線コネクタ 282">
          <a:extLst>
            <a:ext uri="{FF2B5EF4-FFF2-40B4-BE49-F238E27FC236}">
              <a16:creationId xmlns:a16="http://schemas.microsoft.com/office/drawing/2014/main" id="{90C63268-6D8F-4490-8950-DB98B62B3E86}"/>
            </a:ext>
          </a:extLst>
        </xdr:cNvPr>
        <xdr:cNvCxnSpPr/>
      </xdr:nvCxnSpPr>
      <xdr:spPr>
        <a:xfrm>
          <a:off x="7031832" y="4529539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152442</xdr:colOff>
      <xdr:row>19</xdr:row>
      <xdr:rowOff>46990</xdr:rowOff>
    </xdr:from>
    <xdr:to>
      <xdr:col>31</xdr:col>
      <xdr:colOff>6726</xdr:colOff>
      <xdr:row>19</xdr:row>
      <xdr:rowOff>92151</xdr:rowOff>
    </xdr:to>
    <xdr:sp macro="" textlink="">
      <xdr:nvSpPr>
        <xdr:cNvPr id="284" name="二等辺三角形 283">
          <a:extLst>
            <a:ext uri="{FF2B5EF4-FFF2-40B4-BE49-F238E27FC236}">
              <a16:creationId xmlns:a16="http://schemas.microsoft.com/office/drawing/2014/main" id="{3BA18A29-FD34-4042-AD82-43027159930A}"/>
            </a:ext>
          </a:extLst>
        </xdr:cNvPr>
        <xdr:cNvSpPr/>
      </xdr:nvSpPr>
      <xdr:spPr>
        <a:xfrm rot="10800000">
          <a:off x="7010442" y="4405630"/>
          <a:ext cx="82884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31</xdr:col>
      <xdr:colOff>162247</xdr:colOff>
      <xdr:row>21</xdr:row>
      <xdr:rowOff>190559</xdr:rowOff>
    </xdr:from>
    <xdr:ext cx="224998" cy="387607"/>
    <xdr:sp macro="" textlink="">
      <xdr:nvSpPr>
        <xdr:cNvPr id="285" name="テキスト ボックス 284">
          <a:extLst>
            <a:ext uri="{FF2B5EF4-FFF2-40B4-BE49-F238E27FC236}">
              <a16:creationId xmlns:a16="http://schemas.microsoft.com/office/drawing/2014/main" id="{4140B463-D07A-4869-95C6-7F6218FB0DBD}"/>
            </a:ext>
          </a:extLst>
        </xdr:cNvPr>
        <xdr:cNvSpPr txBox="1"/>
      </xdr:nvSpPr>
      <xdr:spPr>
        <a:xfrm rot="16200000">
          <a:off x="7167542" y="5087704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31</xdr:col>
      <xdr:colOff>182059</xdr:colOff>
      <xdr:row>20</xdr:row>
      <xdr:rowOff>108333</xdr:rowOff>
    </xdr:from>
    <xdr:ext cx="224998" cy="444352"/>
    <xdr:sp macro="" textlink="'1.設計条件'!T37">
      <xdr:nvSpPr>
        <xdr:cNvPr id="286" name="テキスト ボックス 285">
          <a:extLst>
            <a:ext uri="{FF2B5EF4-FFF2-40B4-BE49-F238E27FC236}">
              <a16:creationId xmlns:a16="http://schemas.microsoft.com/office/drawing/2014/main" id="{510A0B00-D8E5-4CD4-84BF-60CDC2DD457C}"/>
            </a:ext>
          </a:extLst>
        </xdr:cNvPr>
        <xdr:cNvSpPr txBox="1"/>
      </xdr:nvSpPr>
      <xdr:spPr>
        <a:xfrm rot="16200000">
          <a:off x="7158982" y="480525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142875</xdr:colOff>
      <xdr:row>19</xdr:row>
      <xdr:rowOff>145996</xdr:rowOff>
    </xdr:from>
    <xdr:to>
      <xdr:col>31</xdr:col>
      <xdr:colOff>13335</xdr:colOff>
      <xdr:row>19</xdr:row>
      <xdr:rowOff>145996</xdr:rowOff>
    </xdr:to>
    <xdr:cxnSp macro="">
      <xdr:nvCxnSpPr>
        <xdr:cNvPr id="288" name="直線コネクタ 287">
          <a:extLst>
            <a:ext uri="{FF2B5EF4-FFF2-40B4-BE49-F238E27FC236}">
              <a16:creationId xmlns:a16="http://schemas.microsoft.com/office/drawing/2014/main" id="{9AAA4F78-E46C-873E-FC43-0A99E498883B}"/>
            </a:ext>
          </a:extLst>
        </xdr:cNvPr>
        <xdr:cNvCxnSpPr/>
      </xdr:nvCxnSpPr>
      <xdr:spPr>
        <a:xfrm>
          <a:off x="7000875" y="4504636"/>
          <a:ext cx="99060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166</xdr:col>
      <xdr:colOff>18838</xdr:colOff>
      <xdr:row>4</xdr:row>
      <xdr:rowOff>101564</xdr:rowOff>
    </xdr:from>
    <xdr:to>
      <xdr:col>167</xdr:col>
      <xdr:colOff>202747</xdr:colOff>
      <xdr:row>4</xdr:row>
      <xdr:rowOff>101564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33540FC-08B1-4347-91BF-493CEE69CC3C}"/>
            </a:ext>
          </a:extLst>
        </xdr:cNvPr>
        <xdr:cNvCxnSpPr/>
      </xdr:nvCxnSpPr>
      <xdr:spPr>
        <a:xfrm>
          <a:off x="38418195" y="1026850"/>
          <a:ext cx="41523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43933</xdr:colOff>
      <xdr:row>4</xdr:row>
      <xdr:rowOff>101564</xdr:rowOff>
    </xdr:from>
    <xdr:to>
      <xdr:col>167</xdr:col>
      <xdr:colOff>202225</xdr:colOff>
      <xdr:row>13</xdr:row>
      <xdr:rowOff>164190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BE5C06D-8BF6-4106-A447-B45B06D7FEC8}"/>
            </a:ext>
          </a:extLst>
        </xdr:cNvPr>
        <xdr:cNvCxnSpPr/>
      </xdr:nvCxnSpPr>
      <xdr:spPr>
        <a:xfrm flipH="1">
          <a:off x="38211969" y="1026850"/>
          <a:ext cx="620935" cy="214451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84137</xdr:colOff>
      <xdr:row>4</xdr:row>
      <xdr:rowOff>101564</xdr:rowOff>
    </xdr:from>
    <xdr:to>
      <xdr:col>166</xdr:col>
      <xdr:colOff>12356</xdr:colOff>
      <xdr:row>13</xdr:row>
      <xdr:rowOff>168544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6618B6B8-60EA-4B24-A9AD-B10D91A79135}"/>
            </a:ext>
          </a:extLst>
        </xdr:cNvPr>
        <xdr:cNvCxnSpPr/>
      </xdr:nvCxnSpPr>
      <xdr:spPr>
        <a:xfrm flipH="1">
          <a:off x="37789530" y="1026850"/>
          <a:ext cx="622183" cy="214887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52099</xdr:colOff>
      <xdr:row>13</xdr:row>
      <xdr:rowOff>162318</xdr:rowOff>
    </xdr:from>
    <xdr:to>
      <xdr:col>165</xdr:col>
      <xdr:colOff>76687</xdr:colOff>
      <xdr:row>14</xdr:row>
      <xdr:rowOff>27491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E6614A08-06B3-415B-B4F3-72FB1F77B791}"/>
            </a:ext>
          </a:extLst>
        </xdr:cNvPr>
        <xdr:cNvSpPr/>
      </xdr:nvSpPr>
      <xdr:spPr>
        <a:xfrm>
          <a:off x="37757492" y="3169497"/>
          <a:ext cx="487231" cy="96494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164</xdr:col>
      <xdr:colOff>188058</xdr:colOff>
      <xdr:row>4</xdr:row>
      <xdr:rowOff>190264</xdr:rowOff>
    </xdr:from>
    <xdr:to>
      <xdr:col>167</xdr:col>
      <xdr:colOff>68366</xdr:colOff>
      <xdr:row>13</xdr:row>
      <xdr:rowOff>130676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CD6A788-9D67-40A2-94AC-C950A53C3C7D}"/>
            </a:ext>
          </a:extLst>
        </xdr:cNvPr>
        <xdr:cNvCxnSpPr/>
      </xdr:nvCxnSpPr>
      <xdr:spPr>
        <a:xfrm flipH="1">
          <a:off x="38124772" y="1115550"/>
          <a:ext cx="574273" cy="202230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201533</xdr:colOff>
      <xdr:row>11</xdr:row>
      <xdr:rowOff>218921</xdr:rowOff>
    </xdr:from>
    <xdr:to>
      <xdr:col>165</xdr:col>
      <xdr:colOff>57138</xdr:colOff>
      <xdr:row>11</xdr:row>
      <xdr:rowOff>218921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5BE2BF6-5B4E-4373-A78C-6A11368FF699}"/>
            </a:ext>
          </a:extLst>
        </xdr:cNvPr>
        <xdr:cNvCxnSpPr/>
      </xdr:nvCxnSpPr>
      <xdr:spPr>
        <a:xfrm>
          <a:off x="37906926" y="2763457"/>
          <a:ext cx="3182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164</xdr:col>
      <xdr:colOff>73083</xdr:colOff>
      <xdr:row>10</xdr:row>
      <xdr:rowOff>98907</xdr:rowOff>
    </xdr:from>
    <xdr:to>
      <xdr:col>165</xdr:col>
      <xdr:colOff>164183</xdr:colOff>
      <xdr:row>10</xdr:row>
      <xdr:rowOff>104162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3D45B514-55AD-419C-AA91-3F6629104302}"/>
            </a:ext>
          </a:extLst>
        </xdr:cNvPr>
        <xdr:cNvCxnSpPr/>
      </xdr:nvCxnSpPr>
      <xdr:spPr>
        <a:xfrm>
          <a:off x="38009797" y="2412121"/>
          <a:ext cx="322422" cy="525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164</xdr:col>
      <xdr:colOff>175772</xdr:colOff>
      <xdr:row>8</xdr:row>
      <xdr:rowOff>205043</xdr:rowOff>
    </xdr:from>
    <xdr:to>
      <xdr:col>166</xdr:col>
      <xdr:colOff>35125</xdr:colOff>
      <xdr:row>8</xdr:row>
      <xdr:rowOff>205043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25813D91-7407-4FC1-8FCF-6881ADC946AA}"/>
            </a:ext>
          </a:extLst>
        </xdr:cNvPr>
        <xdr:cNvCxnSpPr/>
      </xdr:nvCxnSpPr>
      <xdr:spPr>
        <a:xfrm>
          <a:off x="38112486" y="2055614"/>
          <a:ext cx="32199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51675</xdr:colOff>
      <xdr:row>7</xdr:row>
      <xdr:rowOff>74140</xdr:rowOff>
    </xdr:from>
    <xdr:to>
      <xdr:col>166</xdr:col>
      <xdr:colOff>133159</xdr:colOff>
      <xdr:row>7</xdr:row>
      <xdr:rowOff>74140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AEEB74F9-D713-4A4A-B450-F7DFC8296CD1}"/>
            </a:ext>
          </a:extLst>
        </xdr:cNvPr>
        <xdr:cNvCxnSpPr/>
      </xdr:nvCxnSpPr>
      <xdr:spPr>
        <a:xfrm>
          <a:off x="38219711" y="1693390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155701</xdr:colOff>
      <xdr:row>5</xdr:row>
      <xdr:rowOff>160682</xdr:rowOff>
    </xdr:from>
    <xdr:to>
      <xdr:col>167</xdr:col>
      <xdr:colOff>8584</xdr:colOff>
      <xdr:row>5</xdr:row>
      <xdr:rowOff>160682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A8F13BF-6C64-4716-9578-2F97C6120A55}"/>
            </a:ext>
          </a:extLst>
        </xdr:cNvPr>
        <xdr:cNvCxnSpPr/>
      </xdr:nvCxnSpPr>
      <xdr:spPr>
        <a:xfrm>
          <a:off x="38323737" y="1317289"/>
          <a:ext cx="31552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206206</xdr:colOff>
      <xdr:row>4</xdr:row>
      <xdr:rowOff>184765</xdr:rowOff>
    </xdr:from>
    <xdr:to>
      <xdr:col>167</xdr:col>
      <xdr:colOff>175250</xdr:colOff>
      <xdr:row>4</xdr:row>
      <xdr:rowOff>184765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50C2F0D-1950-4D1B-AEDC-66ACF9458714}"/>
            </a:ext>
          </a:extLst>
        </xdr:cNvPr>
        <xdr:cNvCxnSpPr/>
      </xdr:nvCxnSpPr>
      <xdr:spPr>
        <a:xfrm>
          <a:off x="38374242" y="1110051"/>
          <a:ext cx="43168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163</xdr:col>
      <xdr:colOff>174070</xdr:colOff>
      <xdr:row>11</xdr:row>
      <xdr:rowOff>185651</xdr:rowOff>
    </xdr:from>
    <xdr:ext cx="37664" cy="42986"/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2C69B917-1312-465C-9663-A434951A12FB}"/>
            </a:ext>
          </a:extLst>
        </xdr:cNvPr>
        <xdr:cNvSpPr/>
      </xdr:nvSpPr>
      <xdr:spPr>
        <a:xfrm>
          <a:off x="37879463" y="273018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164</xdr:col>
      <xdr:colOff>88127</xdr:colOff>
      <xdr:row>12</xdr:row>
      <xdr:rowOff>147374</xdr:rowOff>
    </xdr:from>
    <xdr:ext cx="37664" cy="42986"/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39E9E12E-749C-4FAB-B756-D406A1AC785A}"/>
            </a:ext>
          </a:extLst>
        </xdr:cNvPr>
        <xdr:cNvSpPr/>
      </xdr:nvSpPr>
      <xdr:spPr>
        <a:xfrm>
          <a:off x="38024841" y="292323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163</xdr:col>
      <xdr:colOff>127619</xdr:colOff>
      <xdr:row>9</xdr:row>
      <xdr:rowOff>15225</xdr:rowOff>
    </xdr:from>
    <xdr:ext cx="444352" cy="224998"/>
    <xdr:sp macro="" textlink="$EX$12">
      <xdr:nvSpPr>
        <xdr:cNvPr id="15" name="テキスト ボックス 14">
          <a:extLst>
            <a:ext uri="{FF2B5EF4-FFF2-40B4-BE49-F238E27FC236}">
              <a16:creationId xmlns:a16="http://schemas.microsoft.com/office/drawing/2014/main" id="{6880EF21-AD9B-42EF-9562-BEC01599851E}"/>
            </a:ext>
          </a:extLst>
        </xdr:cNvPr>
        <xdr:cNvSpPr txBox="1"/>
      </xdr:nvSpPr>
      <xdr:spPr>
        <a:xfrm>
          <a:off x="37597585" y="208411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C5AD420-E54C-4BB6-9179-7AC79EC2466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163</xdr:col>
      <xdr:colOff>191110</xdr:colOff>
      <xdr:row>9</xdr:row>
      <xdr:rowOff>204208</xdr:rowOff>
    </xdr:from>
    <xdr:to>
      <xdr:col>164</xdr:col>
      <xdr:colOff>62947</xdr:colOff>
      <xdr:row>9</xdr:row>
      <xdr:rowOff>204208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9F311C25-C5C0-4C8D-AB0C-A28968E8CBC9}"/>
            </a:ext>
          </a:extLst>
        </xdr:cNvPr>
        <xdr:cNvCxnSpPr/>
      </xdr:nvCxnSpPr>
      <xdr:spPr>
        <a:xfrm>
          <a:off x="37896503" y="2286101"/>
          <a:ext cx="10315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190744</xdr:colOff>
      <xdr:row>9</xdr:row>
      <xdr:rowOff>168280</xdr:rowOff>
    </xdr:from>
    <xdr:to>
      <xdr:col>163</xdr:col>
      <xdr:colOff>190744</xdr:colOff>
      <xdr:row>10</xdr:row>
      <xdr:rowOff>145935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1BFB78E2-4CD8-4C5E-AB7D-C7BA2E4095BE}"/>
            </a:ext>
          </a:extLst>
        </xdr:cNvPr>
        <xdr:cNvCxnSpPr/>
      </xdr:nvCxnSpPr>
      <xdr:spPr>
        <a:xfrm>
          <a:off x="37896137" y="2250173"/>
          <a:ext cx="0" cy="20897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193153</xdr:colOff>
      <xdr:row>11</xdr:row>
      <xdr:rowOff>91968</xdr:rowOff>
    </xdr:from>
    <xdr:to>
      <xdr:col>163</xdr:col>
      <xdr:colOff>194178</xdr:colOff>
      <xdr:row>11</xdr:row>
      <xdr:rowOff>150634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9D2DA497-1D8D-42A7-8819-EB269B3E0631}"/>
            </a:ext>
          </a:extLst>
        </xdr:cNvPr>
        <xdr:cNvCxnSpPr/>
      </xdr:nvCxnSpPr>
      <xdr:spPr>
        <a:xfrm>
          <a:off x="37898546" y="2636504"/>
          <a:ext cx="1025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165</xdr:col>
      <xdr:colOff>64330</xdr:colOff>
      <xdr:row>9</xdr:row>
      <xdr:rowOff>118663</xdr:rowOff>
    </xdr:from>
    <xdr:ext cx="37664" cy="42986"/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18D40790-5792-4674-AACC-B0C4BF5A4085}"/>
            </a:ext>
          </a:extLst>
        </xdr:cNvPr>
        <xdr:cNvSpPr/>
      </xdr:nvSpPr>
      <xdr:spPr>
        <a:xfrm>
          <a:off x="38232366" y="22005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163</xdr:col>
      <xdr:colOff>190356</xdr:colOff>
      <xdr:row>8</xdr:row>
      <xdr:rowOff>95102</xdr:rowOff>
    </xdr:from>
    <xdr:to>
      <xdr:col>164</xdr:col>
      <xdr:colOff>156944</xdr:colOff>
      <xdr:row>8</xdr:row>
      <xdr:rowOff>95102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FFF72466-189B-4E10-A2F2-7E77843C16DC}"/>
            </a:ext>
          </a:extLst>
        </xdr:cNvPr>
        <xdr:cNvCxnSpPr/>
      </xdr:nvCxnSpPr>
      <xdr:spPr>
        <a:xfrm>
          <a:off x="37895749" y="1945673"/>
          <a:ext cx="19790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190744</xdr:colOff>
      <xdr:row>8</xdr:row>
      <xdr:rowOff>35811</xdr:rowOff>
    </xdr:from>
    <xdr:to>
      <xdr:col>163</xdr:col>
      <xdr:colOff>190744</xdr:colOff>
      <xdr:row>8</xdr:row>
      <xdr:rowOff>189157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C23ABB0F-4CFF-4253-85AF-D1E68694C006}"/>
            </a:ext>
          </a:extLst>
        </xdr:cNvPr>
        <xdr:cNvCxnSpPr/>
      </xdr:nvCxnSpPr>
      <xdr:spPr>
        <a:xfrm>
          <a:off x="37896137" y="1886382"/>
          <a:ext cx="0" cy="15334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164</xdr:col>
      <xdr:colOff>57997</xdr:colOff>
      <xdr:row>9</xdr:row>
      <xdr:rowOff>183408</xdr:rowOff>
    </xdr:from>
    <xdr:to>
      <xdr:col>164</xdr:col>
      <xdr:colOff>57997</xdr:colOff>
      <xdr:row>10</xdr:row>
      <xdr:rowOff>12302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FC182060-C534-415A-9E15-EC5A51211A9A}"/>
            </a:ext>
          </a:extLst>
        </xdr:cNvPr>
        <xdr:cNvCxnSpPr/>
      </xdr:nvCxnSpPr>
      <xdr:spPr>
        <a:xfrm>
          <a:off x="37994711" y="2265301"/>
          <a:ext cx="0" cy="6021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164</xdr:col>
      <xdr:colOff>9692</xdr:colOff>
      <xdr:row>7</xdr:row>
      <xdr:rowOff>105189</xdr:rowOff>
    </xdr:from>
    <xdr:ext cx="444352" cy="224998"/>
    <xdr:sp macro="" textlink="$EX$11">
      <xdr:nvSpPr>
        <xdr:cNvPr id="23" name="テキスト ボックス 22">
          <a:extLst>
            <a:ext uri="{FF2B5EF4-FFF2-40B4-BE49-F238E27FC236}">
              <a16:creationId xmlns:a16="http://schemas.microsoft.com/office/drawing/2014/main" id="{1AEECB72-E55B-4886-9052-43D76085BB54}"/>
            </a:ext>
          </a:extLst>
        </xdr:cNvPr>
        <xdr:cNvSpPr txBox="1"/>
      </xdr:nvSpPr>
      <xdr:spPr>
        <a:xfrm>
          <a:off x="37709536" y="17143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9A9E602-6C36-4DF8-92C9-10E6D1C97E0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1.550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163</xdr:col>
      <xdr:colOff>201242</xdr:colOff>
      <xdr:row>6</xdr:row>
      <xdr:rowOff>189301</xdr:rowOff>
    </xdr:from>
    <xdr:to>
      <xdr:col>165</xdr:col>
      <xdr:colOff>41221</xdr:colOff>
      <xdr:row>6</xdr:row>
      <xdr:rowOff>189301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1B6B26F0-B0CE-4479-8BCA-04682D68DBB3}"/>
            </a:ext>
          </a:extLst>
        </xdr:cNvPr>
        <xdr:cNvCxnSpPr/>
      </xdr:nvCxnSpPr>
      <xdr:spPr>
        <a:xfrm>
          <a:off x="37906635" y="1577230"/>
          <a:ext cx="30262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190744</xdr:colOff>
      <xdr:row>6</xdr:row>
      <xdr:rowOff>146338</xdr:rowOff>
    </xdr:from>
    <xdr:to>
      <xdr:col>163</xdr:col>
      <xdr:colOff>190744</xdr:colOff>
      <xdr:row>7</xdr:row>
      <xdr:rowOff>50486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654CFCE-2D53-4C50-B7A9-AC3564CD2374}"/>
            </a:ext>
          </a:extLst>
        </xdr:cNvPr>
        <xdr:cNvCxnSpPr/>
      </xdr:nvCxnSpPr>
      <xdr:spPr>
        <a:xfrm>
          <a:off x="37896137" y="1534267"/>
          <a:ext cx="0" cy="135469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164</xdr:col>
      <xdr:colOff>162333</xdr:colOff>
      <xdr:row>8</xdr:row>
      <xdr:rowOff>65336</xdr:rowOff>
    </xdr:from>
    <xdr:to>
      <xdr:col>164</xdr:col>
      <xdr:colOff>162333</xdr:colOff>
      <xdr:row>8</xdr:row>
      <xdr:rowOff>124002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D39D9852-0C51-42DF-8F8D-6D4B232482E3}"/>
            </a:ext>
          </a:extLst>
        </xdr:cNvPr>
        <xdr:cNvCxnSpPr/>
      </xdr:nvCxnSpPr>
      <xdr:spPr>
        <a:xfrm>
          <a:off x="38099047" y="1915907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164</xdr:col>
      <xdr:colOff>53707</xdr:colOff>
      <xdr:row>5</xdr:row>
      <xdr:rowOff>207376</xdr:rowOff>
    </xdr:from>
    <xdr:ext cx="444352" cy="224998"/>
    <xdr:sp macro="" textlink="$EX$10">
      <xdr:nvSpPr>
        <xdr:cNvPr id="27" name="テキスト ボックス 26">
          <a:extLst>
            <a:ext uri="{FF2B5EF4-FFF2-40B4-BE49-F238E27FC236}">
              <a16:creationId xmlns:a16="http://schemas.microsoft.com/office/drawing/2014/main" id="{67498B0D-4EAB-44C7-A4B7-6E14AC7EB2BE}"/>
            </a:ext>
          </a:extLst>
        </xdr:cNvPr>
        <xdr:cNvSpPr txBox="1"/>
      </xdr:nvSpPr>
      <xdr:spPr>
        <a:xfrm>
          <a:off x="37753551" y="135676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6973BD-6491-48D3-8253-24D37D9716F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1.950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163</xdr:col>
      <xdr:colOff>195046</xdr:colOff>
      <xdr:row>5</xdr:row>
      <xdr:rowOff>59185</xdr:rowOff>
    </xdr:from>
    <xdr:to>
      <xdr:col>165</xdr:col>
      <xdr:colOff>142877</xdr:colOff>
      <xdr:row>5</xdr:row>
      <xdr:rowOff>59185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A7610E19-B621-4F62-A393-2C71BDCE9395}"/>
            </a:ext>
          </a:extLst>
        </xdr:cNvPr>
        <xdr:cNvCxnSpPr/>
      </xdr:nvCxnSpPr>
      <xdr:spPr>
        <a:xfrm>
          <a:off x="37900439" y="1215792"/>
          <a:ext cx="41047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190744</xdr:colOff>
      <xdr:row>5</xdr:row>
      <xdr:rowOff>1894</xdr:rowOff>
    </xdr:from>
    <xdr:to>
      <xdr:col>163</xdr:col>
      <xdr:colOff>190744</xdr:colOff>
      <xdr:row>5</xdr:row>
      <xdr:rowOff>156329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A84BF394-8481-457D-B36E-30875C148780}"/>
            </a:ext>
          </a:extLst>
        </xdr:cNvPr>
        <xdr:cNvCxnSpPr/>
      </xdr:nvCxnSpPr>
      <xdr:spPr>
        <a:xfrm>
          <a:off x="37896137" y="1158501"/>
          <a:ext cx="0" cy="15443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41585</xdr:colOff>
      <xdr:row>6</xdr:row>
      <xdr:rowOff>161466</xdr:rowOff>
    </xdr:from>
    <xdr:to>
      <xdr:col>165</xdr:col>
      <xdr:colOff>41585</xdr:colOff>
      <xdr:row>6</xdr:row>
      <xdr:rowOff>220132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47BF0F8D-9313-46AF-B367-FF953172B5A7}"/>
            </a:ext>
          </a:extLst>
        </xdr:cNvPr>
        <xdr:cNvCxnSpPr/>
      </xdr:nvCxnSpPr>
      <xdr:spPr>
        <a:xfrm>
          <a:off x="38209621" y="1549395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164</xdr:col>
      <xdr:colOff>99893</xdr:colOff>
      <xdr:row>4</xdr:row>
      <xdr:rowOff>85924</xdr:rowOff>
    </xdr:from>
    <xdr:ext cx="444352" cy="224998"/>
    <xdr:sp macro="" textlink="$EX$9">
      <xdr:nvSpPr>
        <xdr:cNvPr id="31" name="テキスト ボックス 30">
          <a:extLst>
            <a:ext uri="{FF2B5EF4-FFF2-40B4-BE49-F238E27FC236}">
              <a16:creationId xmlns:a16="http://schemas.microsoft.com/office/drawing/2014/main" id="{A8E3E462-E01B-4A97-99CD-97B6AB065625}"/>
            </a:ext>
          </a:extLst>
        </xdr:cNvPr>
        <xdr:cNvSpPr txBox="1"/>
      </xdr:nvSpPr>
      <xdr:spPr>
        <a:xfrm>
          <a:off x="37799737" y="100543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9BE1E4E-86EE-49D2-B090-857BA1A4854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2.310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165</xdr:col>
      <xdr:colOff>151584</xdr:colOff>
      <xdr:row>5</xdr:row>
      <xdr:rowOff>51564</xdr:rowOff>
    </xdr:from>
    <xdr:to>
      <xdr:col>166</xdr:col>
      <xdr:colOff>142207</xdr:colOff>
      <xdr:row>5</xdr:row>
      <xdr:rowOff>51564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3A23327D-35AB-4193-BA29-38409648657E}"/>
            </a:ext>
          </a:extLst>
        </xdr:cNvPr>
        <xdr:cNvCxnSpPr/>
      </xdr:nvCxnSpPr>
      <xdr:spPr>
        <a:xfrm>
          <a:off x="38319620" y="1208171"/>
          <a:ext cx="22194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166</xdr:col>
      <xdr:colOff>143576</xdr:colOff>
      <xdr:row>5</xdr:row>
      <xdr:rowOff>12256</xdr:rowOff>
    </xdr:from>
    <xdr:to>
      <xdr:col>166</xdr:col>
      <xdr:colOff>143576</xdr:colOff>
      <xdr:row>5</xdr:row>
      <xdr:rowOff>70922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D0C46096-86D6-4E07-9A32-B5B277E20465}"/>
            </a:ext>
          </a:extLst>
        </xdr:cNvPr>
        <xdr:cNvCxnSpPr/>
      </xdr:nvCxnSpPr>
      <xdr:spPr>
        <a:xfrm>
          <a:off x="38542933" y="116886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165</xdr:col>
      <xdr:colOff>89519</xdr:colOff>
      <xdr:row>5</xdr:row>
      <xdr:rowOff>3522</xdr:rowOff>
    </xdr:from>
    <xdr:ext cx="444352" cy="224998"/>
    <xdr:sp macro="" textlink="$EU$9">
      <xdr:nvSpPr>
        <xdr:cNvPr id="34" name="テキスト ボックス 33">
          <a:extLst>
            <a:ext uri="{FF2B5EF4-FFF2-40B4-BE49-F238E27FC236}">
              <a16:creationId xmlns:a16="http://schemas.microsoft.com/office/drawing/2014/main" id="{D39F3227-D962-49E1-86D1-CFD9A2109727}"/>
            </a:ext>
          </a:extLst>
        </xdr:cNvPr>
        <xdr:cNvSpPr txBox="1"/>
      </xdr:nvSpPr>
      <xdr:spPr>
        <a:xfrm>
          <a:off x="38257555" y="11601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E1413C9-2892-498A-9247-6D898F402BB3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164</xdr:col>
      <xdr:colOff>63662</xdr:colOff>
      <xdr:row>9</xdr:row>
      <xdr:rowOff>203966</xdr:rowOff>
    </xdr:from>
    <xdr:to>
      <xdr:col>165</xdr:col>
      <xdr:colOff>75386</xdr:colOff>
      <xdr:row>9</xdr:row>
      <xdr:rowOff>203966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F8B206B9-A37E-45B5-B1F2-5D33089F7763}"/>
            </a:ext>
          </a:extLst>
        </xdr:cNvPr>
        <xdr:cNvCxnSpPr/>
      </xdr:nvCxnSpPr>
      <xdr:spPr>
        <a:xfrm>
          <a:off x="38000376" y="2285859"/>
          <a:ext cx="24304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79100</xdr:colOff>
      <xdr:row>9</xdr:row>
      <xdr:rowOff>174036</xdr:rowOff>
    </xdr:from>
    <xdr:to>
      <xdr:col>165</xdr:col>
      <xdr:colOff>79100</xdr:colOff>
      <xdr:row>10</xdr:row>
      <xdr:rowOff>5513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6D69BABC-9536-4F3C-B69B-2636D750A652}"/>
            </a:ext>
          </a:extLst>
        </xdr:cNvPr>
        <xdr:cNvCxnSpPr/>
      </xdr:nvCxnSpPr>
      <xdr:spPr>
        <a:xfrm>
          <a:off x="38247136" y="2255929"/>
          <a:ext cx="0" cy="62798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163</xdr:col>
      <xdr:colOff>225360</xdr:colOff>
      <xdr:row>9</xdr:row>
      <xdr:rowOff>155443</xdr:rowOff>
    </xdr:from>
    <xdr:ext cx="444352" cy="224998"/>
    <xdr:sp macro="" textlink="$EU$12">
      <xdr:nvSpPr>
        <xdr:cNvPr id="37" name="テキスト ボックス 36">
          <a:extLst>
            <a:ext uri="{FF2B5EF4-FFF2-40B4-BE49-F238E27FC236}">
              <a16:creationId xmlns:a16="http://schemas.microsoft.com/office/drawing/2014/main" id="{8B017726-6F9C-4F02-A50D-F940CE681A9F}"/>
            </a:ext>
          </a:extLst>
        </xdr:cNvPr>
        <xdr:cNvSpPr txBox="1"/>
      </xdr:nvSpPr>
      <xdr:spPr>
        <a:xfrm>
          <a:off x="37930753" y="223733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83982FC-F709-464C-AD06-063A242A123C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164</xdr:col>
      <xdr:colOff>167998</xdr:colOff>
      <xdr:row>8</xdr:row>
      <xdr:rowOff>88241</xdr:rowOff>
    </xdr:from>
    <xdr:to>
      <xdr:col>165</xdr:col>
      <xdr:colOff>187095</xdr:colOff>
      <xdr:row>8</xdr:row>
      <xdr:rowOff>88241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19723ABC-D399-41D0-A838-F6420D3D8FCE}"/>
            </a:ext>
          </a:extLst>
        </xdr:cNvPr>
        <xdr:cNvCxnSpPr/>
      </xdr:nvCxnSpPr>
      <xdr:spPr>
        <a:xfrm>
          <a:off x="38104712" y="1938812"/>
          <a:ext cx="25041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188464</xdr:colOff>
      <xdr:row>8</xdr:row>
      <xdr:rowOff>48933</xdr:rowOff>
    </xdr:from>
    <xdr:to>
      <xdr:col>165</xdr:col>
      <xdr:colOff>189488</xdr:colOff>
      <xdr:row>8</xdr:row>
      <xdr:rowOff>107599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D00FA1B-81CB-4FE0-98C1-A6723FD66492}"/>
            </a:ext>
          </a:extLst>
        </xdr:cNvPr>
        <xdr:cNvCxnSpPr/>
      </xdr:nvCxnSpPr>
      <xdr:spPr>
        <a:xfrm>
          <a:off x="38356500" y="1899504"/>
          <a:ext cx="1024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164</xdr:col>
      <xdr:colOff>99923</xdr:colOff>
      <xdr:row>8</xdr:row>
      <xdr:rowOff>42061</xdr:rowOff>
    </xdr:from>
    <xdr:ext cx="444352" cy="224998"/>
    <xdr:sp macro="" textlink="$EU$11">
      <xdr:nvSpPr>
        <xdr:cNvPr id="40" name="テキスト ボックス 39">
          <a:extLst>
            <a:ext uri="{FF2B5EF4-FFF2-40B4-BE49-F238E27FC236}">
              <a16:creationId xmlns:a16="http://schemas.microsoft.com/office/drawing/2014/main" id="{01656C6A-C118-438B-BC53-7B9C34255593}"/>
            </a:ext>
          </a:extLst>
        </xdr:cNvPr>
        <xdr:cNvSpPr txBox="1"/>
      </xdr:nvSpPr>
      <xdr:spPr>
        <a:xfrm>
          <a:off x="38036637" y="189263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CA96FB6-14A9-4E0D-8F86-6D8164C94032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165</xdr:col>
      <xdr:colOff>167493</xdr:colOff>
      <xdr:row>8</xdr:row>
      <xdr:rowOff>5870</xdr:rowOff>
    </xdr:from>
    <xdr:ext cx="37664" cy="42986"/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A25C5F28-1FF0-4266-AC59-B85749596E05}"/>
            </a:ext>
          </a:extLst>
        </xdr:cNvPr>
        <xdr:cNvSpPr/>
      </xdr:nvSpPr>
      <xdr:spPr>
        <a:xfrm>
          <a:off x="38335529" y="185644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163</xdr:col>
      <xdr:colOff>191443</xdr:colOff>
      <xdr:row>11</xdr:row>
      <xdr:rowOff>96112</xdr:rowOff>
    </xdr:from>
    <xdr:to>
      <xdr:col>164</xdr:col>
      <xdr:colOff>203167</xdr:colOff>
      <xdr:row>11</xdr:row>
      <xdr:rowOff>96112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945F9562-E2E0-4BC5-A126-D0718F8DD7FC}"/>
            </a:ext>
          </a:extLst>
        </xdr:cNvPr>
        <xdr:cNvCxnSpPr/>
      </xdr:nvCxnSpPr>
      <xdr:spPr>
        <a:xfrm>
          <a:off x="37896836" y="2640648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164</xdr:col>
      <xdr:colOff>204536</xdr:colOff>
      <xdr:row>11</xdr:row>
      <xdr:rowOff>56804</xdr:rowOff>
    </xdr:from>
    <xdr:to>
      <xdr:col>164</xdr:col>
      <xdr:colOff>204536</xdr:colOff>
      <xdr:row>11</xdr:row>
      <xdr:rowOff>115470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AB425A98-3026-414B-95DE-FDD33F5E2D6E}"/>
            </a:ext>
          </a:extLst>
        </xdr:cNvPr>
        <xdr:cNvCxnSpPr/>
      </xdr:nvCxnSpPr>
      <xdr:spPr>
        <a:xfrm>
          <a:off x="38141250" y="2601340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166</xdr:col>
      <xdr:colOff>127635</xdr:colOff>
      <xdr:row>4</xdr:row>
      <xdr:rowOff>196621</xdr:rowOff>
    </xdr:from>
    <xdr:ext cx="37664" cy="42986"/>
    <xdr:sp macro="" textlink="">
      <xdr:nvSpPr>
        <xdr:cNvPr id="44" name="楕円 43">
          <a:extLst>
            <a:ext uri="{FF2B5EF4-FFF2-40B4-BE49-F238E27FC236}">
              <a16:creationId xmlns:a16="http://schemas.microsoft.com/office/drawing/2014/main" id="{36440DE6-D988-43B0-A769-90856016C239}"/>
            </a:ext>
          </a:extLst>
        </xdr:cNvPr>
        <xdr:cNvSpPr/>
      </xdr:nvSpPr>
      <xdr:spPr>
        <a:xfrm>
          <a:off x="38526992" y="112190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164</xdr:col>
      <xdr:colOff>188595</xdr:colOff>
      <xdr:row>11</xdr:row>
      <xdr:rowOff>13742</xdr:rowOff>
    </xdr:from>
    <xdr:ext cx="37664" cy="42986"/>
    <xdr:sp macro="" textlink="">
      <xdr:nvSpPr>
        <xdr:cNvPr id="45" name="楕円 44">
          <a:extLst>
            <a:ext uri="{FF2B5EF4-FFF2-40B4-BE49-F238E27FC236}">
              <a16:creationId xmlns:a16="http://schemas.microsoft.com/office/drawing/2014/main" id="{BC601758-2924-4E7E-8D48-F2F9664F0899}"/>
            </a:ext>
          </a:extLst>
        </xdr:cNvPr>
        <xdr:cNvSpPr/>
      </xdr:nvSpPr>
      <xdr:spPr>
        <a:xfrm>
          <a:off x="38125309" y="255827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165</xdr:col>
      <xdr:colOff>51939</xdr:colOff>
      <xdr:row>6</xdr:row>
      <xdr:rowOff>184371</xdr:rowOff>
    </xdr:from>
    <xdr:to>
      <xdr:col>166</xdr:col>
      <xdr:colOff>63662</xdr:colOff>
      <xdr:row>6</xdr:row>
      <xdr:rowOff>184371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7BAC1373-A84D-4E25-9DB7-60FF8FBA794D}"/>
            </a:ext>
          </a:extLst>
        </xdr:cNvPr>
        <xdr:cNvCxnSpPr/>
      </xdr:nvCxnSpPr>
      <xdr:spPr>
        <a:xfrm>
          <a:off x="38219975" y="1572300"/>
          <a:ext cx="24304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166</xdr:col>
      <xdr:colOff>65031</xdr:colOff>
      <xdr:row>6</xdr:row>
      <xdr:rowOff>145063</xdr:rowOff>
    </xdr:from>
    <xdr:to>
      <xdr:col>166</xdr:col>
      <xdr:colOff>65031</xdr:colOff>
      <xdr:row>6</xdr:row>
      <xdr:rowOff>203729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9D5753EC-1DD0-40F1-B230-CE86A94EE26D}"/>
            </a:ext>
          </a:extLst>
        </xdr:cNvPr>
        <xdr:cNvCxnSpPr/>
      </xdr:nvCxnSpPr>
      <xdr:spPr>
        <a:xfrm>
          <a:off x="38464388" y="1532992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164</xdr:col>
      <xdr:colOff>223016</xdr:colOff>
      <xdr:row>6</xdr:row>
      <xdr:rowOff>135846</xdr:rowOff>
    </xdr:from>
    <xdr:ext cx="444352" cy="224998"/>
    <xdr:sp macro="" textlink="$EU$10">
      <xdr:nvSpPr>
        <xdr:cNvPr id="48" name="テキスト ボックス 47">
          <a:extLst>
            <a:ext uri="{FF2B5EF4-FFF2-40B4-BE49-F238E27FC236}">
              <a16:creationId xmlns:a16="http://schemas.microsoft.com/office/drawing/2014/main" id="{0F698BC4-6A58-40F6-8D4F-F94A36130AFB}"/>
            </a:ext>
          </a:extLst>
        </xdr:cNvPr>
        <xdr:cNvSpPr txBox="1"/>
      </xdr:nvSpPr>
      <xdr:spPr>
        <a:xfrm>
          <a:off x="38159730" y="152377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4F2E04D-1170-4860-89F6-9984EBBFC742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166</xdr:col>
      <xdr:colOff>49090</xdr:colOff>
      <xdr:row>6</xdr:row>
      <xdr:rowOff>92623</xdr:rowOff>
    </xdr:from>
    <xdr:ext cx="37664" cy="42986"/>
    <xdr:sp macro="" textlink="">
      <xdr:nvSpPr>
        <xdr:cNvPr id="49" name="楕円 48">
          <a:extLst>
            <a:ext uri="{FF2B5EF4-FFF2-40B4-BE49-F238E27FC236}">
              <a16:creationId xmlns:a16="http://schemas.microsoft.com/office/drawing/2014/main" id="{81A2FD78-DB7C-4C8C-8C8B-5AFF3B3E733C}"/>
            </a:ext>
          </a:extLst>
        </xdr:cNvPr>
        <xdr:cNvSpPr/>
      </xdr:nvSpPr>
      <xdr:spPr>
        <a:xfrm>
          <a:off x="38448447" y="148055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163</xdr:col>
      <xdr:colOff>34542</xdr:colOff>
      <xdr:row>10</xdr:row>
      <xdr:rowOff>144339</xdr:rowOff>
    </xdr:from>
    <xdr:ext cx="444352" cy="224998"/>
    <xdr:sp macro="" textlink="$EU$13">
      <xdr:nvSpPr>
        <xdr:cNvPr id="50" name="テキスト ボックス 49">
          <a:extLst>
            <a:ext uri="{FF2B5EF4-FFF2-40B4-BE49-F238E27FC236}">
              <a16:creationId xmlns:a16="http://schemas.microsoft.com/office/drawing/2014/main" id="{B5A5DA63-61FE-43A0-927C-15BD88700CD0}"/>
            </a:ext>
          </a:extLst>
        </xdr:cNvPr>
        <xdr:cNvSpPr txBox="1"/>
      </xdr:nvSpPr>
      <xdr:spPr>
        <a:xfrm>
          <a:off x="37504508" y="244311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CBCEBA0-9D8E-43D4-B29D-AB10934BC037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165</xdr:col>
      <xdr:colOff>149291</xdr:colOff>
      <xdr:row>5</xdr:row>
      <xdr:rowOff>25591</xdr:rowOff>
    </xdr:from>
    <xdr:to>
      <xdr:col>165</xdr:col>
      <xdr:colOff>149291</xdr:colOff>
      <xdr:row>5</xdr:row>
      <xdr:rowOff>84257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90EDA5E1-2649-4682-BAFE-4AF2174E7E96}"/>
            </a:ext>
          </a:extLst>
        </xdr:cNvPr>
        <xdr:cNvCxnSpPr/>
      </xdr:nvCxnSpPr>
      <xdr:spPr>
        <a:xfrm>
          <a:off x="38317327" y="1182198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200</xdr:col>
      <xdr:colOff>216139</xdr:colOff>
      <xdr:row>4</xdr:row>
      <xdr:rowOff>101564</xdr:rowOff>
    </xdr:from>
    <xdr:ext cx="415231" cy="0"/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73A21140-39FB-4FD2-BE08-8F599C8EB1F2}"/>
            </a:ext>
          </a:extLst>
        </xdr:cNvPr>
        <xdr:cNvCxnSpPr/>
      </xdr:nvCxnSpPr>
      <xdr:spPr>
        <a:xfrm>
          <a:off x="47307739" y="1015964"/>
          <a:ext cx="41523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43611</xdr:colOff>
      <xdr:row>4</xdr:row>
      <xdr:rowOff>101564</xdr:rowOff>
    </xdr:from>
    <xdr:ext cx="589959" cy="2126470"/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C4572C37-B22A-460C-BCD6-85BBF9BA5C0B}"/>
            </a:ext>
          </a:extLst>
        </xdr:cNvPr>
        <xdr:cNvCxnSpPr/>
      </xdr:nvCxnSpPr>
      <xdr:spPr>
        <a:xfrm flipH="1">
          <a:off x="47135211" y="1015964"/>
          <a:ext cx="589959" cy="212647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90613</xdr:colOff>
      <xdr:row>4</xdr:row>
      <xdr:rowOff>101564</xdr:rowOff>
    </xdr:from>
    <xdr:ext cx="584408" cy="2106330"/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B7B675C4-C7B9-4A76-95AF-E414CBD28635}"/>
            </a:ext>
          </a:extLst>
        </xdr:cNvPr>
        <xdr:cNvCxnSpPr/>
      </xdr:nvCxnSpPr>
      <xdr:spPr>
        <a:xfrm flipH="1">
          <a:off x="46725013" y="1015964"/>
          <a:ext cx="584408" cy="210633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47813</xdr:colOff>
      <xdr:row>13</xdr:row>
      <xdr:rowOff>162318</xdr:rowOff>
    </xdr:from>
    <xdr:ext cx="487230" cy="92843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6D2E495D-144F-4F67-8A7F-53D3ABFDD0B4}"/>
            </a:ext>
          </a:extLst>
        </xdr:cNvPr>
        <xdr:cNvSpPr/>
      </xdr:nvSpPr>
      <xdr:spPr>
        <a:xfrm>
          <a:off x="46682213" y="3134118"/>
          <a:ext cx="487230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199</xdr:col>
      <xdr:colOff>176362</xdr:colOff>
      <xdr:row>4</xdr:row>
      <xdr:rowOff>190264</xdr:rowOff>
    </xdr:from>
    <xdr:ext cx="550510" cy="2011927"/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DA9A36B9-BFF4-454B-B6B2-EBF42318D66B}"/>
            </a:ext>
          </a:extLst>
        </xdr:cNvPr>
        <xdr:cNvCxnSpPr/>
      </xdr:nvCxnSpPr>
      <xdr:spPr>
        <a:xfrm flipH="1">
          <a:off x="47039362" y="1104664"/>
          <a:ext cx="550510" cy="201192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167513</xdr:colOff>
      <xdr:row>11</xdr:row>
      <xdr:rowOff>218921</xdr:rowOff>
    </xdr:from>
    <xdr:ext cx="315526" cy="0"/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F5019D0A-C950-4D36-B8FD-17CB56021884}"/>
            </a:ext>
          </a:extLst>
        </xdr:cNvPr>
        <xdr:cNvCxnSpPr/>
      </xdr:nvCxnSpPr>
      <xdr:spPr>
        <a:xfrm>
          <a:off x="46801913" y="2733521"/>
          <a:ext cx="31552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39063</xdr:colOff>
      <xdr:row>10</xdr:row>
      <xdr:rowOff>98907</xdr:rowOff>
    </xdr:from>
    <xdr:ext cx="322421" cy="0"/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8BE59E40-5264-469F-8FEF-9553BA4AB3A6}"/>
            </a:ext>
          </a:extLst>
        </xdr:cNvPr>
        <xdr:cNvCxnSpPr/>
      </xdr:nvCxnSpPr>
      <xdr:spPr>
        <a:xfrm>
          <a:off x="46902063" y="2384907"/>
          <a:ext cx="32242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141752</xdr:colOff>
      <xdr:row>8</xdr:row>
      <xdr:rowOff>205043</xdr:rowOff>
    </xdr:from>
    <xdr:ext cx="318249" cy="0"/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BDDA9174-4318-421E-BCA6-9C38850F2570}"/>
            </a:ext>
          </a:extLst>
        </xdr:cNvPr>
        <xdr:cNvCxnSpPr/>
      </xdr:nvCxnSpPr>
      <xdr:spPr>
        <a:xfrm>
          <a:off x="47004752" y="2033843"/>
          <a:ext cx="31824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17655</xdr:colOff>
      <xdr:row>7</xdr:row>
      <xdr:rowOff>74140</xdr:rowOff>
    </xdr:from>
    <xdr:ext cx="312806" cy="0"/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D5D31B25-0555-4112-9648-C3BDAE999A83}"/>
            </a:ext>
          </a:extLst>
        </xdr:cNvPr>
        <xdr:cNvCxnSpPr/>
      </xdr:nvCxnSpPr>
      <xdr:spPr>
        <a:xfrm>
          <a:off x="47109255" y="1674340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121681</xdr:colOff>
      <xdr:row>5</xdr:row>
      <xdr:rowOff>160682</xdr:rowOff>
    </xdr:from>
    <xdr:ext cx="318248" cy="0"/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BFC70656-7D1C-4E5A-85AC-6174C41CDDD6}"/>
            </a:ext>
          </a:extLst>
        </xdr:cNvPr>
        <xdr:cNvCxnSpPr/>
      </xdr:nvCxnSpPr>
      <xdr:spPr>
        <a:xfrm>
          <a:off x="47213281" y="1303682"/>
          <a:ext cx="3182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172186</xdr:colOff>
      <xdr:row>4</xdr:row>
      <xdr:rowOff>184765</xdr:rowOff>
    </xdr:from>
    <xdr:ext cx="428965" cy="0"/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D88A3BF8-04D9-416A-BA93-63EF45AEEBA8}"/>
            </a:ext>
          </a:extLst>
        </xdr:cNvPr>
        <xdr:cNvCxnSpPr/>
      </xdr:nvCxnSpPr>
      <xdr:spPr>
        <a:xfrm>
          <a:off x="47263786" y="1099165"/>
          <a:ext cx="42896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59224</xdr:colOff>
      <xdr:row>13</xdr:row>
      <xdr:rowOff>138571</xdr:rowOff>
    </xdr:from>
    <xdr:ext cx="37664" cy="42986"/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5E1E88C4-6A36-40D0-A637-D6C0AAF8AF1B}"/>
            </a:ext>
          </a:extLst>
        </xdr:cNvPr>
        <xdr:cNvSpPr/>
      </xdr:nvSpPr>
      <xdr:spPr>
        <a:xfrm>
          <a:off x="46693624" y="3110371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199</xdr:col>
      <xdr:colOff>54107</xdr:colOff>
      <xdr:row>12</xdr:row>
      <xdr:rowOff>147374</xdr:rowOff>
    </xdr:from>
    <xdr:ext cx="37664" cy="42986"/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F7C717E7-FC6C-42D7-8E15-A4FCF5282EBE}"/>
            </a:ext>
          </a:extLst>
        </xdr:cNvPr>
        <xdr:cNvSpPr/>
      </xdr:nvSpPr>
      <xdr:spPr>
        <a:xfrm>
          <a:off x="469171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198</xdr:col>
      <xdr:colOff>9297</xdr:colOff>
      <xdr:row>10</xdr:row>
      <xdr:rowOff>131994</xdr:rowOff>
    </xdr:from>
    <xdr:ext cx="444352" cy="224998"/>
    <xdr:sp macro="" textlink="$GG$13">
      <xdr:nvSpPr>
        <xdr:cNvPr id="65" name="テキスト ボックス 64">
          <a:extLst>
            <a:ext uri="{FF2B5EF4-FFF2-40B4-BE49-F238E27FC236}">
              <a16:creationId xmlns:a16="http://schemas.microsoft.com/office/drawing/2014/main" id="{B541F83F-54CC-4D81-9E91-E77636EB23EB}"/>
            </a:ext>
          </a:extLst>
        </xdr:cNvPr>
        <xdr:cNvSpPr txBox="1"/>
      </xdr:nvSpPr>
      <xdr:spPr>
        <a:xfrm>
          <a:off x="45524962" y="243076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E7FCE1-D937-4FFE-AAD7-420CA621366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53675</xdr:colOff>
      <xdr:row>11</xdr:row>
      <xdr:rowOff>100794</xdr:rowOff>
    </xdr:from>
    <xdr:ext cx="103158" cy="0"/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E02E2F5A-3FDC-496A-B049-6EEB1DE91010}"/>
            </a:ext>
          </a:extLst>
        </xdr:cNvPr>
        <xdr:cNvCxnSpPr/>
      </xdr:nvCxnSpPr>
      <xdr:spPr>
        <a:xfrm>
          <a:off x="46688075" y="2615394"/>
          <a:ext cx="10315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58753</xdr:colOff>
      <xdr:row>11</xdr:row>
      <xdr:rowOff>81195</xdr:rowOff>
    </xdr:from>
    <xdr:ext cx="0" cy="222582"/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D281C85C-C006-4E6F-BE7B-200B1DDB8021}"/>
            </a:ext>
          </a:extLst>
        </xdr:cNvPr>
        <xdr:cNvCxnSpPr/>
      </xdr:nvCxnSpPr>
      <xdr:spPr>
        <a:xfrm>
          <a:off x="46693153" y="2595795"/>
          <a:ext cx="0" cy="22258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159132</xdr:colOff>
      <xdr:row>11</xdr:row>
      <xdr:rowOff>91968</xdr:rowOff>
    </xdr:from>
    <xdr:ext cx="0" cy="58666"/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6508469A-468D-42F8-B2D0-B0CF90A2B405}"/>
            </a:ext>
          </a:extLst>
        </xdr:cNvPr>
        <xdr:cNvCxnSpPr/>
      </xdr:nvCxnSpPr>
      <xdr:spPr>
        <a:xfrm>
          <a:off x="46793532" y="2606568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30310</xdr:colOff>
      <xdr:row>9</xdr:row>
      <xdr:rowOff>118663</xdr:rowOff>
    </xdr:from>
    <xdr:ext cx="37664" cy="42986"/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97CCD1F-E134-48B4-8B8E-40263B2CC2B3}"/>
            </a:ext>
          </a:extLst>
        </xdr:cNvPr>
        <xdr:cNvSpPr/>
      </xdr:nvSpPr>
      <xdr:spPr>
        <a:xfrm>
          <a:off x="471219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198</xdr:col>
      <xdr:colOff>58365</xdr:colOff>
      <xdr:row>9</xdr:row>
      <xdr:rowOff>203959</xdr:rowOff>
    </xdr:from>
    <xdr:ext cx="197909" cy="0"/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553CFE92-B690-4661-8278-B77FB13DE731}"/>
            </a:ext>
          </a:extLst>
        </xdr:cNvPr>
        <xdr:cNvCxnSpPr/>
      </xdr:nvCxnSpPr>
      <xdr:spPr>
        <a:xfrm>
          <a:off x="46692765" y="2261359"/>
          <a:ext cx="19790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58753</xdr:colOff>
      <xdr:row>9</xdr:row>
      <xdr:rowOff>177325</xdr:rowOff>
    </xdr:from>
    <xdr:ext cx="0" cy="158789"/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17EB2675-55BD-4931-A6BF-57FC91D5E57A}"/>
            </a:ext>
          </a:extLst>
        </xdr:cNvPr>
        <xdr:cNvCxnSpPr/>
      </xdr:nvCxnSpPr>
      <xdr:spPr>
        <a:xfrm>
          <a:off x="46693153" y="2234725"/>
          <a:ext cx="0" cy="158789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23977</xdr:colOff>
      <xdr:row>9</xdr:row>
      <xdr:rowOff>183408</xdr:rowOff>
    </xdr:from>
    <xdr:ext cx="0" cy="73822"/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EB357EC5-8531-49F6-84DC-ACEB6BD67DED}"/>
            </a:ext>
          </a:extLst>
        </xdr:cNvPr>
        <xdr:cNvCxnSpPr/>
      </xdr:nvCxnSpPr>
      <xdr:spPr>
        <a:xfrm>
          <a:off x="46886977" y="2240808"/>
          <a:ext cx="0" cy="7382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61667</xdr:colOff>
      <xdr:row>8</xdr:row>
      <xdr:rowOff>222924</xdr:rowOff>
    </xdr:from>
    <xdr:ext cx="444352" cy="224998"/>
    <xdr:sp macro="" textlink="$GG$12">
      <xdr:nvSpPr>
        <xdr:cNvPr id="73" name="テキスト ボックス 72">
          <a:extLst>
            <a:ext uri="{FF2B5EF4-FFF2-40B4-BE49-F238E27FC236}">
              <a16:creationId xmlns:a16="http://schemas.microsoft.com/office/drawing/2014/main" id="{8D28F6D9-D227-4E2B-87D5-26038C84192C}"/>
            </a:ext>
          </a:extLst>
        </xdr:cNvPr>
        <xdr:cNvSpPr txBox="1"/>
      </xdr:nvSpPr>
      <xdr:spPr>
        <a:xfrm>
          <a:off x="45577332" y="206194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93CB2E-0244-4A38-AE40-84BE4DCADD58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1.550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58365</xdr:colOff>
      <xdr:row>8</xdr:row>
      <xdr:rowOff>85887</xdr:rowOff>
    </xdr:from>
    <xdr:ext cx="299900" cy="0"/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BF978080-9A5E-4AE8-924C-9CA6A7FA1DEF}"/>
            </a:ext>
          </a:extLst>
        </xdr:cNvPr>
        <xdr:cNvCxnSpPr/>
      </xdr:nvCxnSpPr>
      <xdr:spPr>
        <a:xfrm>
          <a:off x="46692765" y="1914687"/>
          <a:ext cx="2999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58753</xdr:colOff>
      <xdr:row>8</xdr:row>
      <xdr:rowOff>59253</xdr:rowOff>
    </xdr:from>
    <xdr:ext cx="0" cy="143633"/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A0F14C9B-9D7C-4AB6-9BB5-31D79B79EC32}"/>
            </a:ext>
          </a:extLst>
        </xdr:cNvPr>
        <xdr:cNvCxnSpPr/>
      </xdr:nvCxnSpPr>
      <xdr:spPr>
        <a:xfrm>
          <a:off x="46693153" y="1888053"/>
          <a:ext cx="0" cy="14363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128313</xdr:colOff>
      <xdr:row>8</xdr:row>
      <xdr:rowOff>65336</xdr:rowOff>
    </xdr:from>
    <xdr:ext cx="0" cy="58666"/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58097528-2F55-4179-950D-A5A947EFA8F0}"/>
            </a:ext>
          </a:extLst>
        </xdr:cNvPr>
        <xdr:cNvCxnSpPr/>
      </xdr:nvCxnSpPr>
      <xdr:spPr>
        <a:xfrm>
          <a:off x="46991313" y="189413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162741</xdr:colOff>
      <xdr:row>7</xdr:row>
      <xdr:rowOff>107520</xdr:rowOff>
    </xdr:from>
    <xdr:ext cx="444352" cy="224998"/>
    <xdr:sp macro="" textlink="$GG$11">
      <xdr:nvSpPr>
        <xdr:cNvPr id="77" name="テキスト ボックス 76">
          <a:extLst>
            <a:ext uri="{FF2B5EF4-FFF2-40B4-BE49-F238E27FC236}">
              <a16:creationId xmlns:a16="http://schemas.microsoft.com/office/drawing/2014/main" id="{600471B3-401B-497B-B7F5-ECDCDB0B4311}"/>
            </a:ext>
          </a:extLst>
        </xdr:cNvPr>
        <xdr:cNvSpPr txBox="1"/>
      </xdr:nvSpPr>
      <xdr:spPr>
        <a:xfrm>
          <a:off x="45678406" y="171666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27A66F0-62DB-4248-8F88-84B8362EBD3E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1.950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63055</xdr:colOff>
      <xdr:row>6</xdr:row>
      <xdr:rowOff>184371</xdr:rowOff>
    </xdr:from>
    <xdr:ext cx="410473" cy="0"/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54C9FDC8-599D-4445-A9D7-D70D601EA03E}"/>
            </a:ext>
          </a:extLst>
        </xdr:cNvPr>
        <xdr:cNvCxnSpPr/>
      </xdr:nvCxnSpPr>
      <xdr:spPr>
        <a:xfrm>
          <a:off x="46697455" y="1555971"/>
          <a:ext cx="41047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58753</xdr:colOff>
      <xdr:row>6</xdr:row>
      <xdr:rowOff>155383</xdr:rowOff>
    </xdr:from>
    <xdr:ext cx="0" cy="158790"/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D4A3EA82-D509-4EBD-B678-8E0760255B6E}"/>
            </a:ext>
          </a:extLst>
        </xdr:cNvPr>
        <xdr:cNvCxnSpPr/>
      </xdr:nvCxnSpPr>
      <xdr:spPr>
        <a:xfrm>
          <a:off x="46693153" y="1526983"/>
          <a:ext cx="0" cy="15879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7565</xdr:colOff>
      <xdr:row>6</xdr:row>
      <xdr:rowOff>161466</xdr:rowOff>
    </xdr:from>
    <xdr:ext cx="0" cy="58666"/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F2466A2E-139A-4A6D-8DF0-4815D47A70CE}"/>
            </a:ext>
          </a:extLst>
        </xdr:cNvPr>
        <xdr:cNvCxnSpPr/>
      </xdr:nvCxnSpPr>
      <xdr:spPr>
        <a:xfrm>
          <a:off x="47099165" y="153306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176010</xdr:colOff>
      <xdr:row>5</xdr:row>
      <xdr:rowOff>209318</xdr:rowOff>
    </xdr:from>
    <xdr:ext cx="444352" cy="224998"/>
    <xdr:sp macro="" textlink="$GG$10">
      <xdr:nvSpPr>
        <xdr:cNvPr id="81" name="テキスト ボックス 80">
          <a:extLst>
            <a:ext uri="{FF2B5EF4-FFF2-40B4-BE49-F238E27FC236}">
              <a16:creationId xmlns:a16="http://schemas.microsoft.com/office/drawing/2014/main" id="{6A057D4C-1B4E-4186-A466-F257EC653645}"/>
            </a:ext>
          </a:extLst>
        </xdr:cNvPr>
        <xdr:cNvSpPr txBox="1"/>
      </xdr:nvSpPr>
      <xdr:spPr>
        <a:xfrm>
          <a:off x="45691675" y="135870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B19843-34CA-492E-BA17-00DC9C51685B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2.350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58365</xdr:colOff>
      <xdr:row>5</xdr:row>
      <xdr:rowOff>49220</xdr:rowOff>
    </xdr:from>
    <xdr:ext cx="514808" cy="0"/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E29A6A1F-1E86-48EA-BC9A-E9D6326775F9}"/>
            </a:ext>
          </a:extLst>
        </xdr:cNvPr>
        <xdr:cNvCxnSpPr/>
      </xdr:nvCxnSpPr>
      <xdr:spPr>
        <a:xfrm>
          <a:off x="46692765" y="1192220"/>
          <a:ext cx="51480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58753</xdr:colOff>
      <xdr:row>5</xdr:row>
      <xdr:rowOff>22586</xdr:rowOff>
    </xdr:from>
    <xdr:ext cx="0" cy="143633"/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1754D2E6-E00E-490A-91BD-19471C17AF4E}"/>
            </a:ext>
          </a:extLst>
        </xdr:cNvPr>
        <xdr:cNvCxnSpPr/>
      </xdr:nvCxnSpPr>
      <xdr:spPr>
        <a:xfrm>
          <a:off x="46693153" y="1165586"/>
          <a:ext cx="0" cy="14363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53796</xdr:colOff>
      <xdr:row>4</xdr:row>
      <xdr:rowOff>90038</xdr:rowOff>
    </xdr:from>
    <xdr:ext cx="444352" cy="224998"/>
    <xdr:sp macro="" textlink="$GG$9">
      <xdr:nvSpPr>
        <xdr:cNvPr id="84" name="テキスト ボックス 83">
          <a:extLst>
            <a:ext uri="{FF2B5EF4-FFF2-40B4-BE49-F238E27FC236}">
              <a16:creationId xmlns:a16="http://schemas.microsoft.com/office/drawing/2014/main" id="{2827EB3D-9C7E-473E-A87A-1413F832C2C9}"/>
            </a:ext>
          </a:extLst>
        </xdr:cNvPr>
        <xdr:cNvSpPr txBox="1"/>
      </xdr:nvSpPr>
      <xdr:spPr>
        <a:xfrm>
          <a:off x="45799338" y="10095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FCCB3AE-1237-4E4F-A29A-26D5F560DE0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2.710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200</xdr:col>
      <xdr:colOff>117564</xdr:colOff>
      <xdr:row>5</xdr:row>
      <xdr:rowOff>51564</xdr:rowOff>
    </xdr:from>
    <xdr:ext cx="221945" cy="0"/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AEF3F522-1023-4C46-A324-86C413729C21}"/>
            </a:ext>
          </a:extLst>
        </xdr:cNvPr>
        <xdr:cNvCxnSpPr/>
      </xdr:nvCxnSpPr>
      <xdr:spPr>
        <a:xfrm>
          <a:off x="47209164" y="1194564"/>
          <a:ext cx="2219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201</xdr:col>
      <xdr:colOff>109556</xdr:colOff>
      <xdr:row>5</xdr:row>
      <xdr:rowOff>12256</xdr:rowOff>
    </xdr:from>
    <xdr:ext cx="0" cy="58666"/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418F136E-C7E4-4614-BB03-178A5D614DF8}"/>
            </a:ext>
          </a:extLst>
        </xdr:cNvPr>
        <xdr:cNvCxnSpPr/>
      </xdr:nvCxnSpPr>
      <xdr:spPr>
        <a:xfrm>
          <a:off x="47429756" y="115525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92188</xdr:colOff>
      <xdr:row>5</xdr:row>
      <xdr:rowOff>3522</xdr:rowOff>
    </xdr:from>
    <xdr:ext cx="444352" cy="224998"/>
    <xdr:sp macro="" textlink="$GD$9">
      <xdr:nvSpPr>
        <xdr:cNvPr id="87" name="テキスト ボックス 86">
          <a:extLst>
            <a:ext uri="{FF2B5EF4-FFF2-40B4-BE49-F238E27FC236}">
              <a16:creationId xmlns:a16="http://schemas.microsoft.com/office/drawing/2014/main" id="{DF7A94AE-8F49-4BB4-A458-59F46719D13F}"/>
            </a:ext>
          </a:extLst>
        </xdr:cNvPr>
        <xdr:cNvSpPr txBox="1"/>
      </xdr:nvSpPr>
      <xdr:spPr>
        <a:xfrm>
          <a:off x="46356474" y="11601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90476C8-A6A9-4D07-B645-9C7A66A3A23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199</xdr:col>
      <xdr:colOff>29642</xdr:colOff>
      <xdr:row>9</xdr:row>
      <xdr:rowOff>203966</xdr:rowOff>
    </xdr:from>
    <xdr:ext cx="243045" cy="0"/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34B3E7D3-6D98-48E1-9510-E31EA050E63F}"/>
            </a:ext>
          </a:extLst>
        </xdr:cNvPr>
        <xdr:cNvCxnSpPr/>
      </xdr:nvCxnSpPr>
      <xdr:spPr>
        <a:xfrm>
          <a:off x="46892642" y="2261366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45080</xdr:colOff>
      <xdr:row>9</xdr:row>
      <xdr:rowOff>174036</xdr:rowOff>
    </xdr:from>
    <xdr:ext cx="0" cy="57494"/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1CF26590-DE67-4280-918C-2E7407EB29E5}"/>
            </a:ext>
          </a:extLst>
        </xdr:cNvPr>
        <xdr:cNvCxnSpPr/>
      </xdr:nvCxnSpPr>
      <xdr:spPr>
        <a:xfrm>
          <a:off x="47136680" y="2231436"/>
          <a:ext cx="0" cy="574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228029</xdr:colOff>
      <xdr:row>9</xdr:row>
      <xdr:rowOff>155443</xdr:rowOff>
    </xdr:from>
    <xdr:ext cx="444352" cy="224998"/>
    <xdr:sp macro="" textlink="$GD$12">
      <xdr:nvSpPr>
        <xdr:cNvPr id="90" name="テキスト ボックス 89">
          <a:extLst>
            <a:ext uri="{FF2B5EF4-FFF2-40B4-BE49-F238E27FC236}">
              <a16:creationId xmlns:a16="http://schemas.microsoft.com/office/drawing/2014/main" id="{86EFBFDE-D3D9-4168-B9C5-E448C9F10C72}"/>
            </a:ext>
          </a:extLst>
        </xdr:cNvPr>
        <xdr:cNvSpPr txBox="1"/>
      </xdr:nvSpPr>
      <xdr:spPr>
        <a:xfrm>
          <a:off x="46633829" y="221284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B5A6DBA-3C6B-4835-AF0A-DCE11F9F2662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199</xdr:col>
      <xdr:colOff>133978</xdr:colOff>
      <xdr:row>8</xdr:row>
      <xdr:rowOff>88241</xdr:rowOff>
    </xdr:from>
    <xdr:ext cx="243044" cy="0"/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3A42ADD4-75EA-4CF0-8BC1-8B0553E6C9DA}"/>
            </a:ext>
          </a:extLst>
        </xdr:cNvPr>
        <xdr:cNvCxnSpPr/>
      </xdr:nvCxnSpPr>
      <xdr:spPr>
        <a:xfrm>
          <a:off x="46996978" y="1917041"/>
          <a:ext cx="24304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200</xdr:col>
      <xdr:colOff>154445</xdr:colOff>
      <xdr:row>8</xdr:row>
      <xdr:rowOff>48933</xdr:rowOff>
    </xdr:from>
    <xdr:ext cx="0" cy="58666"/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FA76A1F3-B816-4AD5-95A5-8AEC32716C30}"/>
            </a:ext>
          </a:extLst>
        </xdr:cNvPr>
        <xdr:cNvCxnSpPr/>
      </xdr:nvCxnSpPr>
      <xdr:spPr>
        <a:xfrm>
          <a:off x="47246045" y="187773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102592</xdr:colOff>
      <xdr:row>8</xdr:row>
      <xdr:rowOff>42061</xdr:rowOff>
    </xdr:from>
    <xdr:ext cx="444352" cy="224998"/>
    <xdr:sp macro="" textlink="$GD$11">
      <xdr:nvSpPr>
        <xdr:cNvPr id="93" name="テキスト ボックス 92">
          <a:extLst>
            <a:ext uri="{FF2B5EF4-FFF2-40B4-BE49-F238E27FC236}">
              <a16:creationId xmlns:a16="http://schemas.microsoft.com/office/drawing/2014/main" id="{FD10C687-9DC2-467C-9E10-308A8D187E89}"/>
            </a:ext>
          </a:extLst>
        </xdr:cNvPr>
        <xdr:cNvSpPr txBox="1"/>
      </xdr:nvSpPr>
      <xdr:spPr>
        <a:xfrm>
          <a:off x="46736992" y="187086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D5DC2A1-FB5C-4E6F-9BBE-8A5A70F17CC1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200</xdr:col>
      <xdr:colOff>133473</xdr:colOff>
      <xdr:row>8</xdr:row>
      <xdr:rowOff>5870</xdr:rowOff>
    </xdr:from>
    <xdr:ext cx="37664" cy="42986"/>
    <xdr:sp macro="" textlink="">
      <xdr:nvSpPr>
        <xdr:cNvPr id="94" name="楕円 93">
          <a:extLst>
            <a:ext uri="{FF2B5EF4-FFF2-40B4-BE49-F238E27FC236}">
              <a16:creationId xmlns:a16="http://schemas.microsoft.com/office/drawing/2014/main" id="{A80CB5EB-956F-4630-8E8C-15FE1F15C096}"/>
            </a:ext>
          </a:extLst>
        </xdr:cNvPr>
        <xdr:cNvSpPr/>
      </xdr:nvSpPr>
      <xdr:spPr>
        <a:xfrm>
          <a:off x="47225073" y="183467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198</xdr:col>
      <xdr:colOff>157423</xdr:colOff>
      <xdr:row>11</xdr:row>
      <xdr:rowOff>96112</xdr:rowOff>
    </xdr:from>
    <xdr:ext cx="243045" cy="0"/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6AD6D163-D17A-4CEA-A868-D4659E991B9C}"/>
            </a:ext>
          </a:extLst>
        </xdr:cNvPr>
        <xdr:cNvCxnSpPr/>
      </xdr:nvCxnSpPr>
      <xdr:spPr>
        <a:xfrm>
          <a:off x="46791823" y="2610712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170516</xdr:colOff>
      <xdr:row>11</xdr:row>
      <xdr:rowOff>56804</xdr:rowOff>
    </xdr:from>
    <xdr:ext cx="0" cy="58666"/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3EB1BB9A-E92B-47A6-ACCB-B367F8FAAE96}"/>
            </a:ext>
          </a:extLst>
        </xdr:cNvPr>
        <xdr:cNvCxnSpPr/>
      </xdr:nvCxnSpPr>
      <xdr:spPr>
        <a:xfrm>
          <a:off x="47033516" y="2571404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197</xdr:col>
      <xdr:colOff>149769</xdr:colOff>
      <xdr:row>12</xdr:row>
      <xdr:rowOff>31406</xdr:rowOff>
    </xdr:from>
    <xdr:ext cx="444352" cy="224998"/>
    <xdr:sp macro="" textlink="$GD$14">
      <xdr:nvSpPr>
        <xdr:cNvPr id="97" name="テキスト ボックス 96">
          <a:extLst>
            <a:ext uri="{FF2B5EF4-FFF2-40B4-BE49-F238E27FC236}">
              <a16:creationId xmlns:a16="http://schemas.microsoft.com/office/drawing/2014/main" id="{D8F33603-9275-4CFE-90FA-7B3B93A4A840}"/>
            </a:ext>
          </a:extLst>
        </xdr:cNvPr>
        <xdr:cNvSpPr txBox="1"/>
      </xdr:nvSpPr>
      <xdr:spPr>
        <a:xfrm>
          <a:off x="45435557" y="278993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2D3F3C9-9865-4EB6-AF39-9E4A52D1B62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201</xdr:col>
      <xdr:colOff>93615</xdr:colOff>
      <xdr:row>4</xdr:row>
      <xdr:rowOff>196621</xdr:rowOff>
    </xdr:from>
    <xdr:ext cx="37664" cy="42986"/>
    <xdr:sp macro="" textlink="">
      <xdr:nvSpPr>
        <xdr:cNvPr id="98" name="楕円 97">
          <a:extLst>
            <a:ext uri="{FF2B5EF4-FFF2-40B4-BE49-F238E27FC236}">
              <a16:creationId xmlns:a16="http://schemas.microsoft.com/office/drawing/2014/main" id="{90921124-D339-44B4-A86C-E0D8B251A844}"/>
            </a:ext>
          </a:extLst>
        </xdr:cNvPr>
        <xdr:cNvSpPr/>
      </xdr:nvSpPr>
      <xdr:spPr>
        <a:xfrm>
          <a:off x="47413815" y="111102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199</xdr:col>
      <xdr:colOff>154575</xdr:colOff>
      <xdr:row>11</xdr:row>
      <xdr:rowOff>13742</xdr:rowOff>
    </xdr:from>
    <xdr:ext cx="37664" cy="42986"/>
    <xdr:sp macro="" textlink="">
      <xdr:nvSpPr>
        <xdr:cNvPr id="99" name="楕円 98">
          <a:extLst>
            <a:ext uri="{FF2B5EF4-FFF2-40B4-BE49-F238E27FC236}">
              <a16:creationId xmlns:a16="http://schemas.microsoft.com/office/drawing/2014/main" id="{C6E6916E-993B-4520-B833-67D9080545D7}"/>
            </a:ext>
          </a:extLst>
        </xdr:cNvPr>
        <xdr:cNvSpPr/>
      </xdr:nvSpPr>
      <xdr:spPr>
        <a:xfrm>
          <a:off x="470175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200</xdr:col>
      <xdr:colOff>17919</xdr:colOff>
      <xdr:row>6</xdr:row>
      <xdr:rowOff>184371</xdr:rowOff>
    </xdr:from>
    <xdr:ext cx="243045" cy="0"/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8C7ED913-E8E0-4F9B-98FE-F3C92C1C5AA1}"/>
            </a:ext>
          </a:extLst>
        </xdr:cNvPr>
        <xdr:cNvCxnSpPr/>
      </xdr:nvCxnSpPr>
      <xdr:spPr>
        <a:xfrm>
          <a:off x="47109519" y="1555971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201</xdr:col>
      <xdr:colOff>31011</xdr:colOff>
      <xdr:row>6</xdr:row>
      <xdr:rowOff>145063</xdr:rowOff>
    </xdr:from>
    <xdr:ext cx="0" cy="58666"/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542E9230-9445-432B-B85C-5B7BBF98FC8B}"/>
            </a:ext>
          </a:extLst>
        </xdr:cNvPr>
        <xdr:cNvCxnSpPr/>
      </xdr:nvCxnSpPr>
      <xdr:spPr>
        <a:xfrm>
          <a:off x="47351211" y="151666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225685</xdr:colOff>
      <xdr:row>6</xdr:row>
      <xdr:rowOff>135846</xdr:rowOff>
    </xdr:from>
    <xdr:ext cx="444352" cy="224998"/>
    <xdr:sp macro="" textlink="$GD$10">
      <xdr:nvSpPr>
        <xdr:cNvPr id="102" name="テキスト ボックス 101">
          <a:extLst>
            <a:ext uri="{FF2B5EF4-FFF2-40B4-BE49-F238E27FC236}">
              <a16:creationId xmlns:a16="http://schemas.microsoft.com/office/drawing/2014/main" id="{95A6E179-9D11-4505-9E99-4FE2A8BFC79B}"/>
            </a:ext>
          </a:extLst>
        </xdr:cNvPr>
        <xdr:cNvSpPr txBox="1"/>
      </xdr:nvSpPr>
      <xdr:spPr>
        <a:xfrm>
          <a:off x="46860085" y="15074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BE03449-699D-4AF5-BD91-747105E1A093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201</xdr:col>
      <xdr:colOff>15070</xdr:colOff>
      <xdr:row>6</xdr:row>
      <xdr:rowOff>92623</xdr:rowOff>
    </xdr:from>
    <xdr:ext cx="37664" cy="42986"/>
    <xdr:sp macro="" textlink="">
      <xdr:nvSpPr>
        <xdr:cNvPr id="103" name="楕円 102">
          <a:extLst>
            <a:ext uri="{FF2B5EF4-FFF2-40B4-BE49-F238E27FC236}">
              <a16:creationId xmlns:a16="http://schemas.microsoft.com/office/drawing/2014/main" id="{6AE59DB5-3BA9-4104-8074-1BD698A051AA}"/>
            </a:ext>
          </a:extLst>
        </xdr:cNvPr>
        <xdr:cNvSpPr/>
      </xdr:nvSpPr>
      <xdr:spPr>
        <a:xfrm>
          <a:off x="47335270" y="146422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198</xdr:col>
      <xdr:colOff>66540</xdr:colOff>
      <xdr:row>12</xdr:row>
      <xdr:rowOff>218836</xdr:rowOff>
    </xdr:from>
    <xdr:ext cx="227093" cy="1138"/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6E651002-386B-44D2-B81D-1C913563321A}"/>
            </a:ext>
          </a:extLst>
        </xdr:cNvPr>
        <xdr:cNvCxnSpPr/>
      </xdr:nvCxnSpPr>
      <xdr:spPr>
        <a:xfrm>
          <a:off x="46700940" y="2962036"/>
          <a:ext cx="227093" cy="1138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199</xdr:col>
      <xdr:colOff>69286</xdr:colOff>
      <xdr:row>12</xdr:row>
      <xdr:rowOff>182344</xdr:rowOff>
    </xdr:from>
    <xdr:ext cx="0" cy="94409"/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DA89277D-2397-44E0-BF85-F97D8DA003D3}"/>
            </a:ext>
          </a:extLst>
        </xdr:cNvPr>
        <xdr:cNvCxnSpPr/>
      </xdr:nvCxnSpPr>
      <xdr:spPr>
        <a:xfrm>
          <a:off x="46932286" y="2925544"/>
          <a:ext cx="0" cy="94409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62223</xdr:colOff>
      <xdr:row>12</xdr:row>
      <xdr:rowOff>207628</xdr:rowOff>
    </xdr:from>
    <xdr:ext cx="0" cy="74995"/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7E4353DD-0217-41F1-A151-9413D1BD75DD}"/>
            </a:ext>
          </a:extLst>
        </xdr:cNvPr>
        <xdr:cNvCxnSpPr/>
      </xdr:nvCxnSpPr>
      <xdr:spPr>
        <a:xfrm>
          <a:off x="46696623" y="2950828"/>
          <a:ext cx="0" cy="7499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198</xdr:col>
      <xdr:colOff>185868</xdr:colOff>
      <xdr:row>11</xdr:row>
      <xdr:rowOff>45243</xdr:rowOff>
    </xdr:from>
    <xdr:ext cx="444352" cy="224998"/>
    <xdr:sp macro="" textlink="$GD$13">
      <xdr:nvSpPr>
        <xdr:cNvPr id="107" name="テキスト ボックス 106">
          <a:extLst>
            <a:ext uri="{FF2B5EF4-FFF2-40B4-BE49-F238E27FC236}">
              <a16:creationId xmlns:a16="http://schemas.microsoft.com/office/drawing/2014/main" id="{9B3875A0-48C0-45B5-8E7B-0850BC78F06B}"/>
            </a:ext>
          </a:extLst>
        </xdr:cNvPr>
        <xdr:cNvSpPr txBox="1"/>
      </xdr:nvSpPr>
      <xdr:spPr>
        <a:xfrm>
          <a:off x="45701533" y="257389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9039C66-C8A9-4D05-9DCD-396B5E7B6F6E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200</xdr:col>
      <xdr:colOff>115271</xdr:colOff>
      <xdr:row>5</xdr:row>
      <xdr:rowOff>25591</xdr:rowOff>
    </xdr:from>
    <xdr:ext cx="0" cy="58666"/>
    <xdr:cxnSp macro="">
      <xdr:nvCxnSpPr>
        <xdr:cNvPr id="108" name="直線コネクタ 107">
          <a:extLst>
            <a:ext uri="{FF2B5EF4-FFF2-40B4-BE49-F238E27FC236}">
              <a16:creationId xmlns:a16="http://schemas.microsoft.com/office/drawing/2014/main" id="{33BCF992-36F0-437E-A2AF-63135868BB6C}"/>
            </a:ext>
          </a:extLst>
        </xdr:cNvPr>
        <xdr:cNvCxnSpPr/>
      </xdr:nvCxnSpPr>
      <xdr:spPr>
        <a:xfrm>
          <a:off x="47206871" y="1168591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216139</xdr:colOff>
      <xdr:row>4</xdr:row>
      <xdr:rowOff>101564</xdr:rowOff>
    </xdr:from>
    <xdr:ext cx="409788" cy="0"/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443E5D63-1745-419E-8F4C-1BA71A1615F5}"/>
            </a:ext>
          </a:extLst>
        </xdr:cNvPr>
        <xdr:cNvCxnSpPr/>
      </xdr:nvCxnSpPr>
      <xdr:spPr>
        <a:xfrm>
          <a:off x="31305739" y="1015964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43611</xdr:colOff>
      <xdr:row>4</xdr:row>
      <xdr:rowOff>101564</xdr:rowOff>
    </xdr:from>
    <xdr:ext cx="581794" cy="2117999"/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D1538E5C-C414-4B92-8E31-9B3144F14B45}"/>
            </a:ext>
          </a:extLst>
        </xdr:cNvPr>
        <xdr:cNvCxnSpPr/>
      </xdr:nvCxnSpPr>
      <xdr:spPr>
        <a:xfrm flipH="1">
          <a:off x="31133211" y="1015964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128</xdr:col>
      <xdr:colOff>83916</xdr:colOff>
      <xdr:row>4</xdr:row>
      <xdr:rowOff>101564</xdr:rowOff>
    </xdr:from>
    <xdr:ext cx="581036" cy="2115061"/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08368B21-61A7-4322-A72B-C6A80879A147}"/>
            </a:ext>
          </a:extLst>
        </xdr:cNvPr>
        <xdr:cNvCxnSpPr/>
      </xdr:nvCxnSpPr>
      <xdr:spPr>
        <a:xfrm flipH="1">
          <a:off x="30716316" y="1015964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128</xdr:col>
      <xdr:colOff>49777</xdr:colOff>
      <xdr:row>13</xdr:row>
      <xdr:rowOff>162318</xdr:rowOff>
    </xdr:from>
    <xdr:ext cx="481788" cy="92843"/>
    <xdr:sp macro="" textlink="">
      <xdr:nvSpPr>
        <xdr:cNvPr id="112" name="正方形/長方形 111">
          <a:extLst>
            <a:ext uri="{FF2B5EF4-FFF2-40B4-BE49-F238E27FC236}">
              <a16:creationId xmlns:a16="http://schemas.microsoft.com/office/drawing/2014/main" id="{54019847-5BBB-4E23-B644-F70DCA1144D2}"/>
            </a:ext>
          </a:extLst>
        </xdr:cNvPr>
        <xdr:cNvSpPr/>
      </xdr:nvSpPr>
      <xdr:spPr>
        <a:xfrm>
          <a:off x="30682177" y="3134118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129</xdr:col>
      <xdr:colOff>171450</xdr:colOff>
      <xdr:row>4</xdr:row>
      <xdr:rowOff>190264</xdr:rowOff>
    </xdr:from>
    <xdr:ext cx="547258" cy="2021589"/>
    <xdr:cxnSp macro="">
      <xdr:nvCxnSpPr>
        <xdr:cNvPr id="113" name="直線コネクタ 112">
          <a:extLst>
            <a:ext uri="{FF2B5EF4-FFF2-40B4-BE49-F238E27FC236}">
              <a16:creationId xmlns:a16="http://schemas.microsoft.com/office/drawing/2014/main" id="{53D29C3D-8EDA-48AC-BB70-E8E9A4B30168}"/>
            </a:ext>
          </a:extLst>
        </xdr:cNvPr>
        <xdr:cNvCxnSpPr/>
      </xdr:nvCxnSpPr>
      <xdr:spPr>
        <a:xfrm flipH="1">
          <a:off x="31032450" y="1104664"/>
          <a:ext cx="547258" cy="202158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128</xdr:col>
      <xdr:colOff>186681</xdr:colOff>
      <xdr:row>11</xdr:row>
      <xdr:rowOff>218921</xdr:rowOff>
    </xdr:from>
    <xdr:ext cx="312805" cy="0"/>
    <xdr:cxnSp macro="">
      <xdr:nvCxnSpPr>
        <xdr:cNvPr id="114" name="直線コネクタ 113">
          <a:extLst>
            <a:ext uri="{FF2B5EF4-FFF2-40B4-BE49-F238E27FC236}">
              <a16:creationId xmlns:a16="http://schemas.microsoft.com/office/drawing/2014/main" id="{55AD977A-270B-42B5-A70D-FEE94254F704}"/>
            </a:ext>
          </a:extLst>
        </xdr:cNvPr>
        <xdr:cNvCxnSpPr/>
      </xdr:nvCxnSpPr>
      <xdr:spPr>
        <a:xfrm>
          <a:off x="30819081" y="273352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39063</xdr:colOff>
      <xdr:row>10</xdr:row>
      <xdr:rowOff>98907</xdr:rowOff>
    </xdr:from>
    <xdr:ext cx="319700" cy="0"/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D49894C2-9339-436C-B448-6B6915900B9D}"/>
            </a:ext>
          </a:extLst>
        </xdr:cNvPr>
        <xdr:cNvCxnSpPr/>
      </xdr:nvCxnSpPr>
      <xdr:spPr>
        <a:xfrm>
          <a:off x="30900063" y="238490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141752</xdr:colOff>
      <xdr:row>8</xdr:row>
      <xdr:rowOff>205043</xdr:rowOff>
    </xdr:from>
    <xdr:ext cx="312806" cy="0"/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3B07D151-2654-4290-85AE-65F250D95E81}"/>
            </a:ext>
          </a:extLst>
        </xdr:cNvPr>
        <xdr:cNvCxnSpPr/>
      </xdr:nvCxnSpPr>
      <xdr:spPr>
        <a:xfrm>
          <a:off x="31002752" y="2033843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17655</xdr:colOff>
      <xdr:row>7</xdr:row>
      <xdr:rowOff>74140</xdr:rowOff>
    </xdr:from>
    <xdr:ext cx="310084" cy="0"/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14E9AB6E-0D66-4FDE-9CA7-306938122C90}"/>
            </a:ext>
          </a:extLst>
        </xdr:cNvPr>
        <xdr:cNvCxnSpPr/>
      </xdr:nvCxnSpPr>
      <xdr:spPr>
        <a:xfrm>
          <a:off x="31107255" y="167434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121681</xdr:colOff>
      <xdr:row>5</xdr:row>
      <xdr:rowOff>160682</xdr:rowOff>
    </xdr:from>
    <xdr:ext cx="312805" cy="0"/>
    <xdr:cxnSp macro="">
      <xdr:nvCxnSpPr>
        <xdr:cNvPr id="118" name="直線コネクタ 117">
          <a:extLst>
            <a:ext uri="{FF2B5EF4-FFF2-40B4-BE49-F238E27FC236}">
              <a16:creationId xmlns:a16="http://schemas.microsoft.com/office/drawing/2014/main" id="{B3E0E12D-BE4E-4E46-BB52-0E82A0F4E6D2}"/>
            </a:ext>
          </a:extLst>
        </xdr:cNvPr>
        <xdr:cNvCxnSpPr/>
      </xdr:nvCxnSpPr>
      <xdr:spPr>
        <a:xfrm>
          <a:off x="31211281" y="130368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172186</xdr:colOff>
      <xdr:row>4</xdr:row>
      <xdr:rowOff>184765</xdr:rowOff>
    </xdr:from>
    <xdr:ext cx="426244" cy="0"/>
    <xdr:cxnSp macro="">
      <xdr:nvCxnSpPr>
        <xdr:cNvPr id="119" name="直線コネクタ 118">
          <a:extLst>
            <a:ext uri="{FF2B5EF4-FFF2-40B4-BE49-F238E27FC236}">
              <a16:creationId xmlns:a16="http://schemas.microsoft.com/office/drawing/2014/main" id="{6EC4787C-E96F-4C51-A384-DE488A241868}"/>
            </a:ext>
          </a:extLst>
        </xdr:cNvPr>
        <xdr:cNvCxnSpPr/>
      </xdr:nvCxnSpPr>
      <xdr:spPr>
        <a:xfrm>
          <a:off x="31261786" y="1099165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35369</xdr:colOff>
      <xdr:row>10</xdr:row>
      <xdr:rowOff>65096</xdr:rowOff>
    </xdr:from>
    <xdr:ext cx="37664" cy="42986"/>
    <xdr:sp macro="" textlink="">
      <xdr:nvSpPr>
        <xdr:cNvPr id="120" name="楕円 119">
          <a:extLst>
            <a:ext uri="{FF2B5EF4-FFF2-40B4-BE49-F238E27FC236}">
              <a16:creationId xmlns:a16="http://schemas.microsoft.com/office/drawing/2014/main" id="{D2A23686-570C-4180-B420-9A2D22F50AC8}"/>
            </a:ext>
          </a:extLst>
        </xdr:cNvPr>
        <xdr:cNvSpPr/>
      </xdr:nvSpPr>
      <xdr:spPr>
        <a:xfrm>
          <a:off x="29689514" y="236386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129</xdr:col>
      <xdr:colOff>54107</xdr:colOff>
      <xdr:row>12</xdr:row>
      <xdr:rowOff>147374</xdr:rowOff>
    </xdr:from>
    <xdr:ext cx="37664" cy="42986"/>
    <xdr:sp macro="" textlink="">
      <xdr:nvSpPr>
        <xdr:cNvPr id="121" name="楕円 120">
          <a:extLst>
            <a:ext uri="{FF2B5EF4-FFF2-40B4-BE49-F238E27FC236}">
              <a16:creationId xmlns:a16="http://schemas.microsoft.com/office/drawing/2014/main" id="{615106DB-D8DD-4DAF-AAF9-937787C1CF9F}"/>
            </a:ext>
          </a:extLst>
        </xdr:cNvPr>
        <xdr:cNvSpPr/>
      </xdr:nvSpPr>
      <xdr:spPr>
        <a:xfrm>
          <a:off x="309151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128</xdr:col>
      <xdr:colOff>205442</xdr:colOff>
      <xdr:row>7</xdr:row>
      <xdr:rowOff>121363</xdr:rowOff>
    </xdr:from>
    <xdr:ext cx="444352" cy="224998"/>
    <xdr:sp macro="" textlink="$DO$11">
      <xdr:nvSpPr>
        <xdr:cNvPr id="122" name="テキスト ボックス 121">
          <a:extLst>
            <a:ext uri="{FF2B5EF4-FFF2-40B4-BE49-F238E27FC236}">
              <a16:creationId xmlns:a16="http://schemas.microsoft.com/office/drawing/2014/main" id="{50FFA277-0252-4E58-8E00-8A4A6AE5C22D}"/>
            </a:ext>
          </a:extLst>
        </xdr:cNvPr>
        <xdr:cNvSpPr txBox="1"/>
      </xdr:nvSpPr>
      <xdr:spPr>
        <a:xfrm>
          <a:off x="29629710" y="173050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182A8DC-F4D0-4F63-A8D2-77315ADCB2D6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129</xdr:col>
      <xdr:colOff>34323</xdr:colOff>
      <xdr:row>8</xdr:row>
      <xdr:rowOff>93084</xdr:rowOff>
    </xdr:from>
    <xdr:ext cx="100437" cy="0"/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ADC0B509-1D7C-42E7-A04A-3C0AD1740088}"/>
            </a:ext>
          </a:extLst>
        </xdr:cNvPr>
        <xdr:cNvCxnSpPr/>
      </xdr:nvCxnSpPr>
      <xdr:spPr>
        <a:xfrm>
          <a:off x="30895323" y="1921884"/>
          <a:ext cx="10043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23374</xdr:colOff>
      <xdr:row>8</xdr:row>
      <xdr:rowOff>62448</xdr:rowOff>
    </xdr:from>
    <xdr:ext cx="0" cy="218955"/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754E31A8-1133-4A5B-AC01-571DF4A40F91}"/>
            </a:ext>
          </a:extLst>
        </xdr:cNvPr>
        <xdr:cNvCxnSpPr/>
      </xdr:nvCxnSpPr>
      <xdr:spPr>
        <a:xfrm>
          <a:off x="30884374" y="1891248"/>
          <a:ext cx="0" cy="218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30310</xdr:colOff>
      <xdr:row>9</xdr:row>
      <xdr:rowOff>118663</xdr:rowOff>
    </xdr:from>
    <xdr:ext cx="37664" cy="42986"/>
    <xdr:sp macro="" textlink="">
      <xdr:nvSpPr>
        <xdr:cNvPr id="125" name="楕円 124">
          <a:extLst>
            <a:ext uri="{FF2B5EF4-FFF2-40B4-BE49-F238E27FC236}">
              <a16:creationId xmlns:a16="http://schemas.microsoft.com/office/drawing/2014/main" id="{EB6CBC33-63A1-457A-ABA0-7B8A50F4741F}"/>
            </a:ext>
          </a:extLst>
        </xdr:cNvPr>
        <xdr:cNvSpPr/>
      </xdr:nvSpPr>
      <xdr:spPr>
        <a:xfrm>
          <a:off x="311199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129</xdr:col>
      <xdr:colOff>33569</xdr:colOff>
      <xdr:row>6</xdr:row>
      <xdr:rowOff>195644</xdr:rowOff>
    </xdr:from>
    <xdr:ext cx="195188" cy="0"/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3D80B762-A634-4611-94F2-BA8C48636C40}"/>
            </a:ext>
          </a:extLst>
        </xdr:cNvPr>
        <xdr:cNvCxnSpPr/>
      </xdr:nvCxnSpPr>
      <xdr:spPr>
        <a:xfrm>
          <a:off x="30894569" y="1567244"/>
          <a:ext cx="19518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33957</xdr:colOff>
      <xdr:row>6</xdr:row>
      <xdr:rowOff>136353</xdr:rowOff>
    </xdr:from>
    <xdr:ext cx="0" cy="153346"/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6284DA67-21F5-453C-8542-7D77289CFDA7}"/>
            </a:ext>
          </a:extLst>
        </xdr:cNvPr>
        <xdr:cNvCxnSpPr/>
      </xdr:nvCxnSpPr>
      <xdr:spPr>
        <a:xfrm>
          <a:off x="30894957" y="1507953"/>
          <a:ext cx="0" cy="15334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23977</xdr:colOff>
      <xdr:row>9</xdr:row>
      <xdr:rowOff>183408</xdr:rowOff>
    </xdr:from>
    <xdr:ext cx="0" cy="70194"/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6C9A01CC-734A-4C10-BA35-4BAE6628C124}"/>
            </a:ext>
          </a:extLst>
        </xdr:cNvPr>
        <xdr:cNvCxnSpPr/>
      </xdr:nvCxnSpPr>
      <xdr:spPr>
        <a:xfrm>
          <a:off x="30884977" y="2240808"/>
          <a:ext cx="0" cy="701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76514</xdr:colOff>
      <xdr:row>5</xdr:row>
      <xdr:rowOff>222640</xdr:rowOff>
    </xdr:from>
    <xdr:ext cx="444352" cy="224998"/>
    <xdr:sp macro="" textlink="$DO$10">
      <xdr:nvSpPr>
        <xdr:cNvPr id="129" name="テキスト ボックス 128">
          <a:extLst>
            <a:ext uri="{FF2B5EF4-FFF2-40B4-BE49-F238E27FC236}">
              <a16:creationId xmlns:a16="http://schemas.microsoft.com/office/drawing/2014/main" id="{515A77C8-8C54-44F8-BEA3-9A72D6060716}"/>
            </a:ext>
          </a:extLst>
        </xdr:cNvPr>
        <xdr:cNvSpPr txBox="1"/>
      </xdr:nvSpPr>
      <xdr:spPr>
        <a:xfrm>
          <a:off x="29730659" y="13720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CD7DC6-FECE-4AE2-95D5-DA6C792556E6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1.550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129</xdr:col>
      <xdr:colOff>44455</xdr:colOff>
      <xdr:row>5</xdr:row>
      <xdr:rowOff>51718</xdr:rowOff>
    </xdr:from>
    <xdr:ext cx="297179" cy="0"/>
    <xdr:cxnSp macro="">
      <xdr:nvCxnSpPr>
        <xdr:cNvPr id="130" name="直線コネクタ 129">
          <a:extLst>
            <a:ext uri="{FF2B5EF4-FFF2-40B4-BE49-F238E27FC236}">
              <a16:creationId xmlns:a16="http://schemas.microsoft.com/office/drawing/2014/main" id="{F604D67B-932C-477A-B9F4-402D8ABC90C5}"/>
            </a:ext>
          </a:extLst>
        </xdr:cNvPr>
        <xdr:cNvCxnSpPr/>
      </xdr:nvCxnSpPr>
      <xdr:spPr>
        <a:xfrm>
          <a:off x="30905455" y="1194718"/>
          <a:ext cx="29717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33957</xdr:colOff>
      <xdr:row>5</xdr:row>
      <xdr:rowOff>8755</xdr:rowOff>
    </xdr:from>
    <xdr:ext cx="0" cy="145448"/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54BD2855-8170-4B17-98BC-BB01A397B8FD}"/>
            </a:ext>
          </a:extLst>
        </xdr:cNvPr>
        <xdr:cNvCxnSpPr/>
      </xdr:nvCxnSpPr>
      <xdr:spPr>
        <a:xfrm>
          <a:off x="30894957" y="1151755"/>
          <a:ext cx="0" cy="145448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128313</xdr:colOff>
      <xdr:row>8</xdr:row>
      <xdr:rowOff>65336</xdr:rowOff>
    </xdr:from>
    <xdr:ext cx="0" cy="58666"/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2BB12DE3-26D0-4EEA-A057-C00CCC4FDDEC}"/>
            </a:ext>
          </a:extLst>
        </xdr:cNvPr>
        <xdr:cNvCxnSpPr/>
      </xdr:nvCxnSpPr>
      <xdr:spPr>
        <a:xfrm>
          <a:off x="30989313" y="189413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117331</xdr:colOff>
      <xdr:row>4</xdr:row>
      <xdr:rowOff>110055</xdr:rowOff>
    </xdr:from>
    <xdr:ext cx="444352" cy="224998"/>
    <xdr:sp macro="" textlink="$DO$9">
      <xdr:nvSpPr>
        <xdr:cNvPr id="133" name="テキスト ボックス 132">
          <a:extLst>
            <a:ext uri="{FF2B5EF4-FFF2-40B4-BE49-F238E27FC236}">
              <a16:creationId xmlns:a16="http://schemas.microsoft.com/office/drawing/2014/main" id="{276B9C4A-EF2F-4B04-BED1-FE067507AB19}"/>
            </a:ext>
          </a:extLst>
        </xdr:cNvPr>
        <xdr:cNvSpPr txBox="1"/>
      </xdr:nvSpPr>
      <xdr:spPr>
        <a:xfrm>
          <a:off x="29771476" y="102956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0B21B2F-F6C5-4D74-AA93-6B8792F14F64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1.910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130</xdr:col>
      <xdr:colOff>7565</xdr:colOff>
      <xdr:row>6</xdr:row>
      <xdr:rowOff>161466</xdr:rowOff>
    </xdr:from>
    <xdr:ext cx="0" cy="58666"/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CC919EBE-BCAB-4E75-9C39-5413DD1E7EB3}"/>
            </a:ext>
          </a:extLst>
        </xdr:cNvPr>
        <xdr:cNvCxnSpPr/>
      </xdr:nvCxnSpPr>
      <xdr:spPr>
        <a:xfrm>
          <a:off x="31097165" y="153306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117564</xdr:colOff>
      <xdr:row>5</xdr:row>
      <xdr:rowOff>51564</xdr:rowOff>
    </xdr:from>
    <xdr:ext cx="219223" cy="0"/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31E34BA1-8657-4EDD-9159-A307718FE551}"/>
            </a:ext>
          </a:extLst>
        </xdr:cNvPr>
        <xdr:cNvCxnSpPr/>
      </xdr:nvCxnSpPr>
      <xdr:spPr>
        <a:xfrm>
          <a:off x="31207164" y="1194564"/>
          <a:ext cx="2192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131</xdr:col>
      <xdr:colOff>109556</xdr:colOff>
      <xdr:row>5</xdr:row>
      <xdr:rowOff>12256</xdr:rowOff>
    </xdr:from>
    <xdr:ext cx="0" cy="58666"/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944D3576-D3FF-4637-B8EA-C53060DF625F}"/>
            </a:ext>
          </a:extLst>
        </xdr:cNvPr>
        <xdr:cNvCxnSpPr/>
      </xdr:nvCxnSpPr>
      <xdr:spPr>
        <a:xfrm>
          <a:off x="31427756" y="115525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71792</xdr:colOff>
      <xdr:row>5</xdr:row>
      <xdr:rowOff>3522</xdr:rowOff>
    </xdr:from>
    <xdr:ext cx="444352" cy="224998"/>
    <xdr:sp macro="" textlink="$DL$9">
      <xdr:nvSpPr>
        <xdr:cNvPr id="137" name="テキスト ボックス 136">
          <a:extLst>
            <a:ext uri="{FF2B5EF4-FFF2-40B4-BE49-F238E27FC236}">
              <a16:creationId xmlns:a16="http://schemas.microsoft.com/office/drawing/2014/main" id="{AFC33888-0FB4-4889-83D7-C0B4AD513695}"/>
            </a:ext>
          </a:extLst>
        </xdr:cNvPr>
        <xdr:cNvSpPr txBox="1"/>
      </xdr:nvSpPr>
      <xdr:spPr>
        <a:xfrm>
          <a:off x="30143578" y="11601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4DA2929-8C68-49F6-9A8B-E68253F87070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129</xdr:col>
      <xdr:colOff>29642</xdr:colOff>
      <xdr:row>9</xdr:row>
      <xdr:rowOff>203966</xdr:rowOff>
    </xdr:from>
    <xdr:ext cx="240324" cy="0"/>
    <xdr:cxnSp macro="">
      <xdr:nvCxnSpPr>
        <xdr:cNvPr id="138" name="直線コネクタ 137">
          <a:extLst>
            <a:ext uri="{FF2B5EF4-FFF2-40B4-BE49-F238E27FC236}">
              <a16:creationId xmlns:a16="http://schemas.microsoft.com/office/drawing/2014/main" id="{C781A8CB-D4D4-4FBD-9986-81E850D9BE1E}"/>
            </a:ext>
          </a:extLst>
        </xdr:cNvPr>
        <xdr:cNvCxnSpPr/>
      </xdr:nvCxnSpPr>
      <xdr:spPr>
        <a:xfrm>
          <a:off x="30890642" y="2261366"/>
          <a:ext cx="24032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45080</xdr:colOff>
      <xdr:row>9</xdr:row>
      <xdr:rowOff>174036</xdr:rowOff>
    </xdr:from>
    <xdr:ext cx="0" cy="57494"/>
    <xdr:cxnSp macro="">
      <xdr:nvCxnSpPr>
        <xdr:cNvPr id="139" name="直線コネクタ 138">
          <a:extLst>
            <a:ext uri="{FF2B5EF4-FFF2-40B4-BE49-F238E27FC236}">
              <a16:creationId xmlns:a16="http://schemas.microsoft.com/office/drawing/2014/main" id="{D7F2F602-695C-4A73-9A2D-85919794478A}"/>
            </a:ext>
          </a:extLst>
        </xdr:cNvPr>
        <xdr:cNvCxnSpPr/>
      </xdr:nvCxnSpPr>
      <xdr:spPr>
        <a:xfrm>
          <a:off x="31134680" y="2231436"/>
          <a:ext cx="0" cy="574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90332</xdr:colOff>
      <xdr:row>8</xdr:row>
      <xdr:rowOff>28444</xdr:rowOff>
    </xdr:from>
    <xdr:ext cx="444352" cy="224998"/>
    <xdr:sp macro="" textlink="$DL$11">
      <xdr:nvSpPr>
        <xdr:cNvPr id="140" name="テキスト ボックス 139">
          <a:extLst>
            <a:ext uri="{FF2B5EF4-FFF2-40B4-BE49-F238E27FC236}">
              <a16:creationId xmlns:a16="http://schemas.microsoft.com/office/drawing/2014/main" id="{3A63E1F5-0563-4BE8-8409-1B03CD26CC0D}"/>
            </a:ext>
          </a:extLst>
        </xdr:cNvPr>
        <xdr:cNvSpPr txBox="1"/>
      </xdr:nvSpPr>
      <xdr:spPr>
        <a:xfrm>
          <a:off x="29930796" y="187901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5C98C8D-F032-41CA-A235-07538021A6DB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129</xdr:col>
      <xdr:colOff>133978</xdr:colOff>
      <xdr:row>8</xdr:row>
      <xdr:rowOff>88241</xdr:rowOff>
    </xdr:from>
    <xdr:ext cx="240323" cy="0"/>
    <xdr:cxnSp macro="">
      <xdr:nvCxnSpPr>
        <xdr:cNvPr id="141" name="直線コネクタ 140">
          <a:extLst>
            <a:ext uri="{FF2B5EF4-FFF2-40B4-BE49-F238E27FC236}">
              <a16:creationId xmlns:a16="http://schemas.microsoft.com/office/drawing/2014/main" id="{FFBBFFBB-BB62-423F-ABC8-60FC75527B1F}"/>
            </a:ext>
          </a:extLst>
        </xdr:cNvPr>
        <xdr:cNvCxnSpPr/>
      </xdr:nvCxnSpPr>
      <xdr:spPr>
        <a:xfrm>
          <a:off x="30994978" y="1917041"/>
          <a:ext cx="2403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130</xdr:col>
      <xdr:colOff>154444</xdr:colOff>
      <xdr:row>8</xdr:row>
      <xdr:rowOff>48933</xdr:rowOff>
    </xdr:from>
    <xdr:ext cx="0" cy="58666"/>
    <xdr:cxnSp macro="">
      <xdr:nvCxnSpPr>
        <xdr:cNvPr id="142" name="直線コネクタ 141">
          <a:extLst>
            <a:ext uri="{FF2B5EF4-FFF2-40B4-BE49-F238E27FC236}">
              <a16:creationId xmlns:a16="http://schemas.microsoft.com/office/drawing/2014/main" id="{FAE71ECE-A423-413C-A9E5-32952C0BB9DE}"/>
            </a:ext>
          </a:extLst>
        </xdr:cNvPr>
        <xdr:cNvCxnSpPr/>
      </xdr:nvCxnSpPr>
      <xdr:spPr>
        <a:xfrm>
          <a:off x="31244044" y="187773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128</xdr:col>
      <xdr:colOff>110669</xdr:colOff>
      <xdr:row>9</xdr:row>
      <xdr:rowOff>37092</xdr:rowOff>
    </xdr:from>
    <xdr:ext cx="444352" cy="224998"/>
    <xdr:sp macro="" textlink="$DL$12">
      <xdr:nvSpPr>
        <xdr:cNvPr id="143" name="テキスト ボックス 142">
          <a:extLst>
            <a:ext uri="{FF2B5EF4-FFF2-40B4-BE49-F238E27FC236}">
              <a16:creationId xmlns:a16="http://schemas.microsoft.com/office/drawing/2014/main" id="{46851FD0-4E0D-42B8-A3EA-75018DFE1098}"/>
            </a:ext>
          </a:extLst>
        </xdr:cNvPr>
        <xdr:cNvSpPr txBox="1"/>
      </xdr:nvSpPr>
      <xdr:spPr>
        <a:xfrm>
          <a:off x="29534937" y="210598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51674FD-9F46-4752-9D10-6C8C6F8BBDA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130</xdr:col>
      <xdr:colOff>133473</xdr:colOff>
      <xdr:row>8</xdr:row>
      <xdr:rowOff>5870</xdr:rowOff>
    </xdr:from>
    <xdr:ext cx="37664" cy="42986"/>
    <xdr:sp macro="" textlink="">
      <xdr:nvSpPr>
        <xdr:cNvPr id="144" name="楕円 143">
          <a:extLst>
            <a:ext uri="{FF2B5EF4-FFF2-40B4-BE49-F238E27FC236}">
              <a16:creationId xmlns:a16="http://schemas.microsoft.com/office/drawing/2014/main" id="{422E641C-4975-42C4-8C01-B1997E35FA93}"/>
            </a:ext>
          </a:extLst>
        </xdr:cNvPr>
        <xdr:cNvSpPr/>
      </xdr:nvSpPr>
      <xdr:spPr>
        <a:xfrm>
          <a:off x="31223073" y="183467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131</xdr:col>
      <xdr:colOff>93615</xdr:colOff>
      <xdr:row>4</xdr:row>
      <xdr:rowOff>196621</xdr:rowOff>
    </xdr:from>
    <xdr:ext cx="37664" cy="42986"/>
    <xdr:sp macro="" textlink="">
      <xdr:nvSpPr>
        <xdr:cNvPr id="145" name="楕円 144">
          <a:extLst>
            <a:ext uri="{FF2B5EF4-FFF2-40B4-BE49-F238E27FC236}">
              <a16:creationId xmlns:a16="http://schemas.microsoft.com/office/drawing/2014/main" id="{0CB0A389-AB52-4221-A5F3-A0C9924CB2AF}"/>
            </a:ext>
          </a:extLst>
        </xdr:cNvPr>
        <xdr:cNvSpPr/>
      </xdr:nvSpPr>
      <xdr:spPr>
        <a:xfrm>
          <a:off x="31411815" y="111102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129</xdr:col>
      <xdr:colOff>154575</xdr:colOff>
      <xdr:row>11</xdr:row>
      <xdr:rowOff>13742</xdr:rowOff>
    </xdr:from>
    <xdr:ext cx="37664" cy="42986"/>
    <xdr:sp macro="" textlink="">
      <xdr:nvSpPr>
        <xdr:cNvPr id="146" name="楕円 145">
          <a:extLst>
            <a:ext uri="{FF2B5EF4-FFF2-40B4-BE49-F238E27FC236}">
              <a16:creationId xmlns:a16="http://schemas.microsoft.com/office/drawing/2014/main" id="{F6D3C332-5687-4AC5-9559-FBB7D0F246CF}"/>
            </a:ext>
          </a:extLst>
        </xdr:cNvPr>
        <xdr:cNvSpPr/>
      </xdr:nvSpPr>
      <xdr:spPr>
        <a:xfrm>
          <a:off x="310155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130</xdr:col>
      <xdr:colOff>17919</xdr:colOff>
      <xdr:row>6</xdr:row>
      <xdr:rowOff>184371</xdr:rowOff>
    </xdr:from>
    <xdr:ext cx="240323" cy="0"/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602E2769-0292-4331-8FBC-B6DCB0EF9A09}"/>
            </a:ext>
          </a:extLst>
        </xdr:cNvPr>
        <xdr:cNvCxnSpPr/>
      </xdr:nvCxnSpPr>
      <xdr:spPr>
        <a:xfrm>
          <a:off x="31107519" y="1555971"/>
          <a:ext cx="2403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131</xdr:col>
      <xdr:colOff>31011</xdr:colOff>
      <xdr:row>6</xdr:row>
      <xdr:rowOff>145063</xdr:rowOff>
    </xdr:from>
    <xdr:ext cx="0" cy="58666"/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2C747060-EA46-4320-989F-A7C238DEDCC2}"/>
            </a:ext>
          </a:extLst>
        </xdr:cNvPr>
        <xdr:cNvCxnSpPr/>
      </xdr:nvCxnSpPr>
      <xdr:spPr>
        <a:xfrm>
          <a:off x="31349211" y="151666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129</xdr:col>
      <xdr:colOff>210755</xdr:colOff>
      <xdr:row>6</xdr:row>
      <xdr:rowOff>135846</xdr:rowOff>
    </xdr:from>
    <xdr:ext cx="444352" cy="224998"/>
    <xdr:sp macro="" textlink="$DL$10">
      <xdr:nvSpPr>
        <xdr:cNvPr id="149" name="テキスト ボックス 148">
          <a:extLst>
            <a:ext uri="{FF2B5EF4-FFF2-40B4-BE49-F238E27FC236}">
              <a16:creationId xmlns:a16="http://schemas.microsoft.com/office/drawing/2014/main" id="{D0F09938-4E37-4026-81EA-D5F97D662CDB}"/>
            </a:ext>
          </a:extLst>
        </xdr:cNvPr>
        <xdr:cNvSpPr txBox="1"/>
      </xdr:nvSpPr>
      <xdr:spPr>
        <a:xfrm>
          <a:off x="30051219" y="152377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E618A7D-FF44-458A-ABEB-6B6E44CCB9E0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131</xdr:col>
      <xdr:colOff>15070</xdr:colOff>
      <xdr:row>6</xdr:row>
      <xdr:rowOff>92623</xdr:rowOff>
    </xdr:from>
    <xdr:ext cx="37664" cy="42986"/>
    <xdr:sp macro="" textlink="">
      <xdr:nvSpPr>
        <xdr:cNvPr id="150" name="楕円 149">
          <a:extLst>
            <a:ext uri="{FF2B5EF4-FFF2-40B4-BE49-F238E27FC236}">
              <a16:creationId xmlns:a16="http://schemas.microsoft.com/office/drawing/2014/main" id="{6D06A9E1-7541-421E-8F76-C4884FFA5680}"/>
            </a:ext>
          </a:extLst>
        </xdr:cNvPr>
        <xdr:cNvSpPr/>
      </xdr:nvSpPr>
      <xdr:spPr>
        <a:xfrm>
          <a:off x="31333270" y="146422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130</xdr:col>
      <xdr:colOff>115271</xdr:colOff>
      <xdr:row>5</xdr:row>
      <xdr:rowOff>25591</xdr:rowOff>
    </xdr:from>
    <xdr:ext cx="0" cy="58666"/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4ACBA59E-0DD6-4EBA-87D4-0A7251950241}"/>
            </a:ext>
          </a:extLst>
        </xdr:cNvPr>
        <xdr:cNvCxnSpPr/>
      </xdr:nvCxnSpPr>
      <xdr:spPr>
        <a:xfrm>
          <a:off x="31204871" y="1168591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216139</xdr:colOff>
      <xdr:row>4</xdr:row>
      <xdr:rowOff>101564</xdr:rowOff>
    </xdr:from>
    <xdr:ext cx="409788" cy="0"/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968E7498-32B7-4D80-9A18-829D5913B044}"/>
            </a:ext>
          </a:extLst>
        </xdr:cNvPr>
        <xdr:cNvCxnSpPr/>
      </xdr:nvCxnSpPr>
      <xdr:spPr>
        <a:xfrm>
          <a:off x="23304739" y="1015964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43611</xdr:colOff>
      <xdr:row>4</xdr:row>
      <xdr:rowOff>101564</xdr:rowOff>
    </xdr:from>
    <xdr:ext cx="581794" cy="2117999"/>
    <xdr:cxnSp macro="">
      <xdr:nvCxnSpPr>
        <xdr:cNvPr id="153" name="直線コネクタ 152">
          <a:extLst>
            <a:ext uri="{FF2B5EF4-FFF2-40B4-BE49-F238E27FC236}">
              <a16:creationId xmlns:a16="http://schemas.microsoft.com/office/drawing/2014/main" id="{FE075EF0-C0C8-4ACF-AD9B-6F3EBB97D440}"/>
            </a:ext>
          </a:extLst>
        </xdr:cNvPr>
        <xdr:cNvCxnSpPr/>
      </xdr:nvCxnSpPr>
      <xdr:spPr>
        <a:xfrm flipH="1">
          <a:off x="23132211" y="1015964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93</xdr:col>
      <xdr:colOff>85821</xdr:colOff>
      <xdr:row>4</xdr:row>
      <xdr:rowOff>101564</xdr:rowOff>
    </xdr:from>
    <xdr:ext cx="581036" cy="2115061"/>
    <xdr:cxnSp macro="">
      <xdr:nvCxnSpPr>
        <xdr:cNvPr id="154" name="直線コネクタ 153">
          <a:extLst>
            <a:ext uri="{FF2B5EF4-FFF2-40B4-BE49-F238E27FC236}">
              <a16:creationId xmlns:a16="http://schemas.microsoft.com/office/drawing/2014/main" id="{E5AE957F-46D1-4DBF-9021-CB08C941EDF5}"/>
            </a:ext>
          </a:extLst>
        </xdr:cNvPr>
        <xdr:cNvCxnSpPr/>
      </xdr:nvCxnSpPr>
      <xdr:spPr>
        <a:xfrm flipH="1">
          <a:off x="22717221" y="1015964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93</xdr:col>
      <xdr:colOff>48796</xdr:colOff>
      <xdr:row>13</xdr:row>
      <xdr:rowOff>162318</xdr:rowOff>
    </xdr:from>
    <xdr:ext cx="481788" cy="92843"/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18791A43-2D90-4DD7-8F3F-3592BCB3348F}"/>
            </a:ext>
          </a:extLst>
        </xdr:cNvPr>
        <xdr:cNvSpPr/>
      </xdr:nvSpPr>
      <xdr:spPr>
        <a:xfrm>
          <a:off x="22680196" y="3134118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94</xdr:col>
      <xdr:colOff>169545</xdr:colOff>
      <xdr:row>4</xdr:row>
      <xdr:rowOff>190264</xdr:rowOff>
    </xdr:from>
    <xdr:ext cx="549163" cy="2028626"/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A6E1E1F8-9C22-48B2-B701-5FA1AEA9774C}"/>
            </a:ext>
          </a:extLst>
        </xdr:cNvPr>
        <xdr:cNvCxnSpPr/>
      </xdr:nvCxnSpPr>
      <xdr:spPr>
        <a:xfrm flipH="1">
          <a:off x="23029545" y="1104664"/>
          <a:ext cx="549163" cy="202862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93</xdr:col>
      <xdr:colOff>191473</xdr:colOff>
      <xdr:row>11</xdr:row>
      <xdr:rowOff>218921</xdr:rowOff>
    </xdr:from>
    <xdr:ext cx="312805" cy="0"/>
    <xdr:cxnSp macro="">
      <xdr:nvCxnSpPr>
        <xdr:cNvPr id="157" name="直線コネクタ 156">
          <a:extLst>
            <a:ext uri="{FF2B5EF4-FFF2-40B4-BE49-F238E27FC236}">
              <a16:creationId xmlns:a16="http://schemas.microsoft.com/office/drawing/2014/main" id="{0F11B409-BF2D-43B2-ACFA-7E37F61DF198}"/>
            </a:ext>
          </a:extLst>
        </xdr:cNvPr>
        <xdr:cNvCxnSpPr/>
      </xdr:nvCxnSpPr>
      <xdr:spPr>
        <a:xfrm>
          <a:off x="22822873" y="273352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53439</xdr:colOff>
      <xdr:row>10</xdr:row>
      <xdr:rowOff>98907</xdr:rowOff>
    </xdr:from>
    <xdr:ext cx="319700" cy="0"/>
    <xdr:cxnSp macro="">
      <xdr:nvCxnSpPr>
        <xdr:cNvPr id="158" name="直線コネクタ 157">
          <a:extLst>
            <a:ext uri="{FF2B5EF4-FFF2-40B4-BE49-F238E27FC236}">
              <a16:creationId xmlns:a16="http://schemas.microsoft.com/office/drawing/2014/main" id="{AB56C780-FCB0-40A9-B6E4-660B2D65F2EC}"/>
            </a:ext>
          </a:extLst>
        </xdr:cNvPr>
        <xdr:cNvCxnSpPr/>
      </xdr:nvCxnSpPr>
      <xdr:spPr>
        <a:xfrm>
          <a:off x="22913439" y="238490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141752</xdr:colOff>
      <xdr:row>8</xdr:row>
      <xdr:rowOff>205043</xdr:rowOff>
    </xdr:from>
    <xdr:ext cx="312806" cy="0"/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490C5F92-8B52-4D8D-9AC8-967B9E56C506}"/>
            </a:ext>
          </a:extLst>
        </xdr:cNvPr>
        <xdr:cNvCxnSpPr/>
      </xdr:nvCxnSpPr>
      <xdr:spPr>
        <a:xfrm>
          <a:off x="23001752" y="2033843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17655</xdr:colOff>
      <xdr:row>7</xdr:row>
      <xdr:rowOff>74140</xdr:rowOff>
    </xdr:from>
    <xdr:ext cx="310084" cy="0"/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0213C558-A0E7-4DE0-8F68-24057E9C4149}"/>
            </a:ext>
          </a:extLst>
        </xdr:cNvPr>
        <xdr:cNvCxnSpPr/>
      </xdr:nvCxnSpPr>
      <xdr:spPr>
        <a:xfrm>
          <a:off x="23106255" y="167434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121681</xdr:colOff>
      <xdr:row>5</xdr:row>
      <xdr:rowOff>160682</xdr:rowOff>
    </xdr:from>
    <xdr:ext cx="312805" cy="0"/>
    <xdr:cxnSp macro="">
      <xdr:nvCxnSpPr>
        <xdr:cNvPr id="161" name="直線コネクタ 160">
          <a:extLst>
            <a:ext uri="{FF2B5EF4-FFF2-40B4-BE49-F238E27FC236}">
              <a16:creationId xmlns:a16="http://schemas.microsoft.com/office/drawing/2014/main" id="{5FB40C92-EC5D-440A-B27E-EF65052948C9}"/>
            </a:ext>
          </a:extLst>
        </xdr:cNvPr>
        <xdr:cNvCxnSpPr/>
      </xdr:nvCxnSpPr>
      <xdr:spPr>
        <a:xfrm>
          <a:off x="23210281" y="130368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172186</xdr:colOff>
      <xdr:row>4</xdr:row>
      <xdr:rowOff>184765</xdr:rowOff>
    </xdr:from>
    <xdr:ext cx="426244" cy="0"/>
    <xdr:cxnSp macro="">
      <xdr:nvCxnSpPr>
        <xdr:cNvPr id="162" name="直線コネクタ 161">
          <a:extLst>
            <a:ext uri="{FF2B5EF4-FFF2-40B4-BE49-F238E27FC236}">
              <a16:creationId xmlns:a16="http://schemas.microsoft.com/office/drawing/2014/main" id="{042071FA-41EF-43E6-86F6-8F374D9912C5}"/>
            </a:ext>
          </a:extLst>
        </xdr:cNvPr>
        <xdr:cNvCxnSpPr/>
      </xdr:nvCxnSpPr>
      <xdr:spPr>
        <a:xfrm>
          <a:off x="23260786" y="1099165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126580</xdr:colOff>
      <xdr:row>8</xdr:row>
      <xdr:rowOff>186613</xdr:rowOff>
    </xdr:from>
    <xdr:ext cx="37664" cy="42986"/>
    <xdr:sp macro="" textlink="">
      <xdr:nvSpPr>
        <xdr:cNvPr id="163" name="楕円 162">
          <a:extLst>
            <a:ext uri="{FF2B5EF4-FFF2-40B4-BE49-F238E27FC236}">
              <a16:creationId xmlns:a16="http://schemas.microsoft.com/office/drawing/2014/main" id="{86C7EE23-5061-4925-8DF8-A70F4FF37627}"/>
            </a:ext>
          </a:extLst>
        </xdr:cNvPr>
        <xdr:cNvSpPr/>
      </xdr:nvSpPr>
      <xdr:spPr>
        <a:xfrm>
          <a:off x="22986580" y="2015413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94</xdr:col>
      <xdr:colOff>54107</xdr:colOff>
      <xdr:row>12</xdr:row>
      <xdr:rowOff>147374</xdr:rowOff>
    </xdr:from>
    <xdr:ext cx="37664" cy="42986"/>
    <xdr:sp macro="" textlink="">
      <xdr:nvSpPr>
        <xdr:cNvPr id="164" name="楕円 163">
          <a:extLst>
            <a:ext uri="{FF2B5EF4-FFF2-40B4-BE49-F238E27FC236}">
              <a16:creationId xmlns:a16="http://schemas.microsoft.com/office/drawing/2014/main" id="{31DAD263-5BB7-4C75-A2CB-1FB88D73763A}"/>
            </a:ext>
          </a:extLst>
        </xdr:cNvPr>
        <xdr:cNvSpPr/>
      </xdr:nvSpPr>
      <xdr:spPr>
        <a:xfrm>
          <a:off x="229141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94</xdr:col>
      <xdr:colOff>24843</xdr:colOff>
      <xdr:row>5</xdr:row>
      <xdr:rowOff>225497</xdr:rowOff>
    </xdr:from>
    <xdr:ext cx="444352" cy="224998"/>
    <xdr:sp macro="" textlink="$CF$10">
      <xdr:nvSpPr>
        <xdr:cNvPr id="165" name="テキスト ボックス 164">
          <a:extLst>
            <a:ext uri="{FF2B5EF4-FFF2-40B4-BE49-F238E27FC236}">
              <a16:creationId xmlns:a16="http://schemas.microsoft.com/office/drawing/2014/main" id="{CEBAE72C-9B98-47A0-AF92-31E684A11BAA}"/>
            </a:ext>
          </a:extLst>
        </xdr:cNvPr>
        <xdr:cNvSpPr txBox="1"/>
      </xdr:nvSpPr>
      <xdr:spPr>
        <a:xfrm>
          <a:off x="21633290" y="137488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87F3D2-409F-47CE-80C4-BFAA25051D9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94</xdr:col>
      <xdr:colOff>136900</xdr:colOff>
      <xdr:row>6</xdr:row>
      <xdr:rowOff>195661</xdr:rowOff>
    </xdr:from>
    <xdr:ext cx="100437" cy="0"/>
    <xdr:cxnSp macro="">
      <xdr:nvCxnSpPr>
        <xdr:cNvPr id="166" name="直線コネクタ 165">
          <a:extLst>
            <a:ext uri="{FF2B5EF4-FFF2-40B4-BE49-F238E27FC236}">
              <a16:creationId xmlns:a16="http://schemas.microsoft.com/office/drawing/2014/main" id="{9169AC64-C581-4B3E-B460-8A505D1D978B}"/>
            </a:ext>
          </a:extLst>
        </xdr:cNvPr>
        <xdr:cNvCxnSpPr/>
      </xdr:nvCxnSpPr>
      <xdr:spPr>
        <a:xfrm>
          <a:off x="22996900" y="1567261"/>
          <a:ext cx="10043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125951</xdr:colOff>
      <xdr:row>6</xdr:row>
      <xdr:rowOff>165025</xdr:rowOff>
    </xdr:from>
    <xdr:ext cx="0" cy="218955"/>
    <xdr:cxnSp macro="">
      <xdr:nvCxnSpPr>
        <xdr:cNvPr id="167" name="直線コネクタ 166">
          <a:extLst>
            <a:ext uri="{FF2B5EF4-FFF2-40B4-BE49-F238E27FC236}">
              <a16:creationId xmlns:a16="http://schemas.microsoft.com/office/drawing/2014/main" id="{D337FC08-B9BC-47DA-8D37-365F8A69260C}"/>
            </a:ext>
          </a:extLst>
        </xdr:cNvPr>
        <xdr:cNvCxnSpPr/>
      </xdr:nvCxnSpPr>
      <xdr:spPr>
        <a:xfrm>
          <a:off x="22985951" y="1536625"/>
          <a:ext cx="0" cy="218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30310</xdr:colOff>
      <xdr:row>9</xdr:row>
      <xdr:rowOff>118663</xdr:rowOff>
    </xdr:from>
    <xdr:ext cx="37664" cy="42986"/>
    <xdr:sp macro="" textlink="">
      <xdr:nvSpPr>
        <xdr:cNvPr id="168" name="楕円 167">
          <a:extLst>
            <a:ext uri="{FF2B5EF4-FFF2-40B4-BE49-F238E27FC236}">
              <a16:creationId xmlns:a16="http://schemas.microsoft.com/office/drawing/2014/main" id="{FF797C76-1130-4128-9CFC-3E45E00ECC34}"/>
            </a:ext>
          </a:extLst>
        </xdr:cNvPr>
        <xdr:cNvSpPr/>
      </xdr:nvSpPr>
      <xdr:spPr>
        <a:xfrm>
          <a:off x="231189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94</xdr:col>
      <xdr:colOff>155177</xdr:colOff>
      <xdr:row>5</xdr:row>
      <xdr:rowOff>50769</xdr:rowOff>
    </xdr:from>
    <xdr:ext cx="195188" cy="0"/>
    <xdr:cxnSp macro="">
      <xdr:nvCxnSpPr>
        <xdr:cNvPr id="169" name="直線コネクタ 168">
          <a:extLst>
            <a:ext uri="{FF2B5EF4-FFF2-40B4-BE49-F238E27FC236}">
              <a16:creationId xmlns:a16="http://schemas.microsoft.com/office/drawing/2014/main" id="{442B75E6-9218-4105-9DB9-5C4A2DA6609E}"/>
            </a:ext>
          </a:extLst>
        </xdr:cNvPr>
        <xdr:cNvCxnSpPr/>
      </xdr:nvCxnSpPr>
      <xdr:spPr>
        <a:xfrm>
          <a:off x="23015177" y="1193769"/>
          <a:ext cx="19518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143861</xdr:colOff>
      <xdr:row>5</xdr:row>
      <xdr:rowOff>4468</xdr:rowOff>
    </xdr:from>
    <xdr:ext cx="0" cy="153346"/>
    <xdr:cxnSp macro="">
      <xdr:nvCxnSpPr>
        <xdr:cNvPr id="170" name="直線コネクタ 169">
          <a:extLst>
            <a:ext uri="{FF2B5EF4-FFF2-40B4-BE49-F238E27FC236}">
              <a16:creationId xmlns:a16="http://schemas.microsoft.com/office/drawing/2014/main" id="{7C6C66A9-7120-4FE1-8379-778306FC770C}"/>
            </a:ext>
          </a:extLst>
        </xdr:cNvPr>
        <xdr:cNvCxnSpPr/>
      </xdr:nvCxnSpPr>
      <xdr:spPr>
        <a:xfrm>
          <a:off x="23003861" y="1147468"/>
          <a:ext cx="0" cy="15334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93</xdr:col>
      <xdr:colOff>199942</xdr:colOff>
      <xdr:row>4</xdr:row>
      <xdr:rowOff>229274</xdr:rowOff>
    </xdr:from>
    <xdr:ext cx="444352" cy="224998"/>
    <xdr:sp macro="" textlink="$BZ$9">
      <xdr:nvSpPr>
        <xdr:cNvPr id="171" name="テキスト ボックス 170">
          <a:extLst>
            <a:ext uri="{FF2B5EF4-FFF2-40B4-BE49-F238E27FC236}">
              <a16:creationId xmlns:a16="http://schemas.microsoft.com/office/drawing/2014/main" id="{8ED4D32A-605D-44D1-9A03-D2100BBEC1D6}"/>
            </a:ext>
          </a:extLst>
        </xdr:cNvPr>
        <xdr:cNvSpPr txBox="1"/>
      </xdr:nvSpPr>
      <xdr:spPr>
        <a:xfrm>
          <a:off x="21578512" y="114878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854FD2D-7E5D-4A8B-990C-9675F10AAE4B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94</xdr:col>
      <xdr:colOff>128313</xdr:colOff>
      <xdr:row>8</xdr:row>
      <xdr:rowOff>65336</xdr:rowOff>
    </xdr:from>
    <xdr:ext cx="0" cy="58666"/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CB7FE73E-3B86-418D-96B7-93D9955E5F54}"/>
            </a:ext>
          </a:extLst>
        </xdr:cNvPr>
        <xdr:cNvCxnSpPr/>
      </xdr:nvCxnSpPr>
      <xdr:spPr>
        <a:xfrm>
          <a:off x="22988313" y="189413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7565</xdr:colOff>
      <xdr:row>6</xdr:row>
      <xdr:rowOff>161466</xdr:rowOff>
    </xdr:from>
    <xdr:ext cx="0" cy="58666"/>
    <xdr:cxnSp macro="">
      <xdr:nvCxnSpPr>
        <xdr:cNvPr id="173" name="直線コネクタ 172">
          <a:extLst>
            <a:ext uri="{FF2B5EF4-FFF2-40B4-BE49-F238E27FC236}">
              <a16:creationId xmlns:a16="http://schemas.microsoft.com/office/drawing/2014/main" id="{9E33F89D-E374-4D91-B5DB-334D20A976CC}"/>
            </a:ext>
          </a:extLst>
        </xdr:cNvPr>
        <xdr:cNvCxnSpPr/>
      </xdr:nvCxnSpPr>
      <xdr:spPr>
        <a:xfrm>
          <a:off x="23096165" y="153306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117564</xdr:colOff>
      <xdr:row>5</xdr:row>
      <xdr:rowOff>51564</xdr:rowOff>
    </xdr:from>
    <xdr:ext cx="219223" cy="0"/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8EFEC1D1-CDE3-4E72-9F04-45708FFF1683}"/>
            </a:ext>
          </a:extLst>
        </xdr:cNvPr>
        <xdr:cNvCxnSpPr/>
      </xdr:nvCxnSpPr>
      <xdr:spPr>
        <a:xfrm>
          <a:off x="23206164" y="1194564"/>
          <a:ext cx="2192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96</xdr:col>
      <xdr:colOff>109556</xdr:colOff>
      <xdr:row>5</xdr:row>
      <xdr:rowOff>12256</xdr:rowOff>
    </xdr:from>
    <xdr:ext cx="0" cy="58666"/>
    <xdr:cxnSp macro="">
      <xdr:nvCxnSpPr>
        <xdr:cNvPr id="175" name="直線コネクタ 174">
          <a:extLst>
            <a:ext uri="{FF2B5EF4-FFF2-40B4-BE49-F238E27FC236}">
              <a16:creationId xmlns:a16="http://schemas.microsoft.com/office/drawing/2014/main" id="{EBEC4597-0483-42F1-BD05-B20FAAF1F480}"/>
            </a:ext>
          </a:extLst>
        </xdr:cNvPr>
        <xdr:cNvCxnSpPr/>
      </xdr:nvCxnSpPr>
      <xdr:spPr>
        <a:xfrm>
          <a:off x="23426756" y="115525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74060</xdr:colOff>
      <xdr:row>5</xdr:row>
      <xdr:rowOff>3522</xdr:rowOff>
    </xdr:from>
    <xdr:ext cx="444352" cy="224998"/>
    <xdr:sp macro="" textlink="$CC$9">
      <xdr:nvSpPr>
        <xdr:cNvPr id="176" name="テキスト ボックス 175">
          <a:extLst>
            <a:ext uri="{FF2B5EF4-FFF2-40B4-BE49-F238E27FC236}">
              <a16:creationId xmlns:a16="http://schemas.microsoft.com/office/drawing/2014/main" id="{20E1F305-CCC8-4B72-83AB-C9286138C394}"/>
            </a:ext>
          </a:extLst>
        </xdr:cNvPr>
        <xdr:cNvSpPr txBox="1"/>
      </xdr:nvSpPr>
      <xdr:spPr>
        <a:xfrm>
          <a:off x="22049596" y="11601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9A438D3-99DF-4751-BFB2-0318CCE43B5E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93</xdr:col>
      <xdr:colOff>201580</xdr:colOff>
      <xdr:row>7</xdr:row>
      <xdr:rowOff>134869</xdr:rowOff>
    </xdr:from>
    <xdr:ext cx="444352" cy="224998"/>
    <xdr:sp macro="" textlink="$CC$11">
      <xdr:nvSpPr>
        <xdr:cNvPr id="177" name="テキスト ボックス 176">
          <a:extLst>
            <a:ext uri="{FF2B5EF4-FFF2-40B4-BE49-F238E27FC236}">
              <a16:creationId xmlns:a16="http://schemas.microsoft.com/office/drawing/2014/main" id="{F9D57477-B709-4E09-B38A-EA74D7BA5F14}"/>
            </a:ext>
          </a:extLst>
        </xdr:cNvPr>
        <xdr:cNvSpPr txBox="1"/>
      </xdr:nvSpPr>
      <xdr:spPr>
        <a:xfrm>
          <a:off x="21580150" y="174400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18DE220-332F-4D45-AF81-6972D544A176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94</xdr:col>
      <xdr:colOff>133978</xdr:colOff>
      <xdr:row>8</xdr:row>
      <xdr:rowOff>88241</xdr:rowOff>
    </xdr:from>
    <xdr:ext cx="240323" cy="0"/>
    <xdr:cxnSp macro="">
      <xdr:nvCxnSpPr>
        <xdr:cNvPr id="178" name="直線コネクタ 177">
          <a:extLst>
            <a:ext uri="{FF2B5EF4-FFF2-40B4-BE49-F238E27FC236}">
              <a16:creationId xmlns:a16="http://schemas.microsoft.com/office/drawing/2014/main" id="{B4C2D031-D588-450C-9560-CA42F561EBE5}"/>
            </a:ext>
          </a:extLst>
        </xdr:cNvPr>
        <xdr:cNvCxnSpPr/>
      </xdr:nvCxnSpPr>
      <xdr:spPr>
        <a:xfrm>
          <a:off x="22993978" y="1917041"/>
          <a:ext cx="2403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154444</xdr:colOff>
      <xdr:row>8</xdr:row>
      <xdr:rowOff>48933</xdr:rowOff>
    </xdr:from>
    <xdr:ext cx="0" cy="58666"/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69CC28EE-3A5F-42F1-A4DC-1153E6122528}"/>
            </a:ext>
          </a:extLst>
        </xdr:cNvPr>
        <xdr:cNvCxnSpPr/>
      </xdr:nvCxnSpPr>
      <xdr:spPr>
        <a:xfrm>
          <a:off x="23243044" y="187773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95</xdr:col>
      <xdr:colOff>133473</xdr:colOff>
      <xdr:row>8</xdr:row>
      <xdr:rowOff>5870</xdr:rowOff>
    </xdr:from>
    <xdr:ext cx="37664" cy="42986"/>
    <xdr:sp macro="" textlink="">
      <xdr:nvSpPr>
        <xdr:cNvPr id="180" name="楕円 179">
          <a:extLst>
            <a:ext uri="{FF2B5EF4-FFF2-40B4-BE49-F238E27FC236}">
              <a16:creationId xmlns:a16="http://schemas.microsoft.com/office/drawing/2014/main" id="{C7D0BD52-05BF-4704-9421-26031155677D}"/>
            </a:ext>
          </a:extLst>
        </xdr:cNvPr>
        <xdr:cNvSpPr/>
      </xdr:nvSpPr>
      <xdr:spPr>
        <a:xfrm>
          <a:off x="23222073" y="183467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96</xdr:col>
      <xdr:colOff>93615</xdr:colOff>
      <xdr:row>4</xdr:row>
      <xdr:rowOff>196621</xdr:rowOff>
    </xdr:from>
    <xdr:ext cx="37664" cy="42986"/>
    <xdr:sp macro="" textlink="">
      <xdr:nvSpPr>
        <xdr:cNvPr id="181" name="楕円 180">
          <a:extLst>
            <a:ext uri="{FF2B5EF4-FFF2-40B4-BE49-F238E27FC236}">
              <a16:creationId xmlns:a16="http://schemas.microsoft.com/office/drawing/2014/main" id="{A90FCA14-258E-4EEE-92D0-3F1512A3CA55}"/>
            </a:ext>
          </a:extLst>
        </xdr:cNvPr>
        <xdr:cNvSpPr/>
      </xdr:nvSpPr>
      <xdr:spPr>
        <a:xfrm>
          <a:off x="23410815" y="111102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94</xdr:col>
      <xdr:colOff>154575</xdr:colOff>
      <xdr:row>11</xdr:row>
      <xdr:rowOff>13742</xdr:rowOff>
    </xdr:from>
    <xdr:ext cx="37664" cy="42986"/>
    <xdr:sp macro="" textlink="">
      <xdr:nvSpPr>
        <xdr:cNvPr id="182" name="楕円 181">
          <a:extLst>
            <a:ext uri="{FF2B5EF4-FFF2-40B4-BE49-F238E27FC236}">
              <a16:creationId xmlns:a16="http://schemas.microsoft.com/office/drawing/2014/main" id="{9466D17B-04A3-42CD-BD1A-F29E7DD14585}"/>
            </a:ext>
          </a:extLst>
        </xdr:cNvPr>
        <xdr:cNvSpPr/>
      </xdr:nvSpPr>
      <xdr:spPr>
        <a:xfrm>
          <a:off x="230145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95</xdr:col>
      <xdr:colOff>17919</xdr:colOff>
      <xdr:row>6</xdr:row>
      <xdr:rowOff>184371</xdr:rowOff>
    </xdr:from>
    <xdr:ext cx="240323" cy="0"/>
    <xdr:cxnSp macro="">
      <xdr:nvCxnSpPr>
        <xdr:cNvPr id="183" name="直線コネクタ 182">
          <a:extLst>
            <a:ext uri="{FF2B5EF4-FFF2-40B4-BE49-F238E27FC236}">
              <a16:creationId xmlns:a16="http://schemas.microsoft.com/office/drawing/2014/main" id="{23118DB5-FF21-4561-9788-63AF45CB63C1}"/>
            </a:ext>
          </a:extLst>
        </xdr:cNvPr>
        <xdr:cNvCxnSpPr/>
      </xdr:nvCxnSpPr>
      <xdr:spPr>
        <a:xfrm>
          <a:off x="23106519" y="1555971"/>
          <a:ext cx="2403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96</xdr:col>
      <xdr:colOff>31011</xdr:colOff>
      <xdr:row>6</xdr:row>
      <xdr:rowOff>145063</xdr:rowOff>
    </xdr:from>
    <xdr:ext cx="0" cy="58666"/>
    <xdr:cxnSp macro="">
      <xdr:nvCxnSpPr>
        <xdr:cNvPr id="184" name="直線コネクタ 183">
          <a:extLst>
            <a:ext uri="{FF2B5EF4-FFF2-40B4-BE49-F238E27FC236}">
              <a16:creationId xmlns:a16="http://schemas.microsoft.com/office/drawing/2014/main" id="{7E6BEC5B-4753-4649-B7C9-716651C3A82B}"/>
            </a:ext>
          </a:extLst>
        </xdr:cNvPr>
        <xdr:cNvCxnSpPr/>
      </xdr:nvCxnSpPr>
      <xdr:spPr>
        <a:xfrm>
          <a:off x="23348211" y="151666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94</xdr:col>
      <xdr:colOff>207557</xdr:colOff>
      <xdr:row>6</xdr:row>
      <xdr:rowOff>135846</xdr:rowOff>
    </xdr:from>
    <xdr:ext cx="444352" cy="224998"/>
    <xdr:sp macro="" textlink="$CC$10">
      <xdr:nvSpPr>
        <xdr:cNvPr id="185" name="テキスト ボックス 184">
          <a:extLst>
            <a:ext uri="{FF2B5EF4-FFF2-40B4-BE49-F238E27FC236}">
              <a16:creationId xmlns:a16="http://schemas.microsoft.com/office/drawing/2014/main" id="{73AB1C98-AE6B-47C2-AD75-4B74E080A892}"/>
            </a:ext>
          </a:extLst>
        </xdr:cNvPr>
        <xdr:cNvSpPr txBox="1"/>
      </xdr:nvSpPr>
      <xdr:spPr>
        <a:xfrm>
          <a:off x="21951771" y="152377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C1A592A-6C3F-45A3-981C-9F65ECDBAB10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15070</xdr:colOff>
      <xdr:row>6</xdr:row>
      <xdr:rowOff>92623</xdr:rowOff>
    </xdr:from>
    <xdr:ext cx="37664" cy="42986"/>
    <xdr:sp macro="" textlink="">
      <xdr:nvSpPr>
        <xdr:cNvPr id="186" name="楕円 185">
          <a:extLst>
            <a:ext uri="{FF2B5EF4-FFF2-40B4-BE49-F238E27FC236}">
              <a16:creationId xmlns:a16="http://schemas.microsoft.com/office/drawing/2014/main" id="{521D0C7C-8085-4E79-B011-248212E7E4D1}"/>
            </a:ext>
          </a:extLst>
        </xdr:cNvPr>
        <xdr:cNvSpPr/>
      </xdr:nvSpPr>
      <xdr:spPr>
        <a:xfrm>
          <a:off x="23332270" y="146422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95</xdr:col>
      <xdr:colOff>115271</xdr:colOff>
      <xdr:row>5</xdr:row>
      <xdr:rowOff>25591</xdr:rowOff>
    </xdr:from>
    <xdr:ext cx="0" cy="58666"/>
    <xdr:cxnSp macro="">
      <xdr:nvCxnSpPr>
        <xdr:cNvPr id="187" name="直線コネクタ 186">
          <a:extLst>
            <a:ext uri="{FF2B5EF4-FFF2-40B4-BE49-F238E27FC236}">
              <a16:creationId xmlns:a16="http://schemas.microsoft.com/office/drawing/2014/main" id="{9AB5F4B2-B664-40FB-90F6-8C38B3172F33}"/>
            </a:ext>
          </a:extLst>
        </xdr:cNvPr>
        <xdr:cNvCxnSpPr/>
      </xdr:nvCxnSpPr>
      <xdr:spPr>
        <a:xfrm>
          <a:off x="23203871" y="1168591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216139</xdr:colOff>
      <xdr:row>4</xdr:row>
      <xdr:rowOff>101564</xdr:rowOff>
    </xdr:from>
    <xdr:ext cx="409788" cy="0"/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4472E6D6-F1E3-4D76-B8CF-85C13B7D5F9B}"/>
            </a:ext>
          </a:extLst>
        </xdr:cNvPr>
        <xdr:cNvCxnSpPr/>
      </xdr:nvCxnSpPr>
      <xdr:spPr>
        <a:xfrm>
          <a:off x="15303739" y="1015964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43611</xdr:colOff>
      <xdr:row>4</xdr:row>
      <xdr:rowOff>101564</xdr:rowOff>
    </xdr:from>
    <xdr:ext cx="581794" cy="2117999"/>
    <xdr:cxnSp macro="">
      <xdr:nvCxnSpPr>
        <xdr:cNvPr id="189" name="直線コネクタ 188">
          <a:extLst>
            <a:ext uri="{FF2B5EF4-FFF2-40B4-BE49-F238E27FC236}">
              <a16:creationId xmlns:a16="http://schemas.microsoft.com/office/drawing/2014/main" id="{73BBF26A-35ED-400C-ABFB-2BE75DEA091F}"/>
            </a:ext>
          </a:extLst>
        </xdr:cNvPr>
        <xdr:cNvCxnSpPr/>
      </xdr:nvCxnSpPr>
      <xdr:spPr>
        <a:xfrm flipH="1">
          <a:off x="15131211" y="1015964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58</xdr:col>
      <xdr:colOff>85820</xdr:colOff>
      <xdr:row>4</xdr:row>
      <xdr:rowOff>101564</xdr:rowOff>
    </xdr:from>
    <xdr:ext cx="581037" cy="2115065"/>
    <xdr:cxnSp macro="">
      <xdr:nvCxnSpPr>
        <xdr:cNvPr id="190" name="直線コネクタ 189">
          <a:extLst>
            <a:ext uri="{FF2B5EF4-FFF2-40B4-BE49-F238E27FC236}">
              <a16:creationId xmlns:a16="http://schemas.microsoft.com/office/drawing/2014/main" id="{B3A1EB2F-0494-4C20-9CBD-296478E873BC}"/>
            </a:ext>
          </a:extLst>
        </xdr:cNvPr>
        <xdr:cNvCxnSpPr/>
      </xdr:nvCxnSpPr>
      <xdr:spPr>
        <a:xfrm flipH="1">
          <a:off x="14716220" y="1015964"/>
          <a:ext cx="581037" cy="211506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58</xdr:col>
      <xdr:colOff>49777</xdr:colOff>
      <xdr:row>13</xdr:row>
      <xdr:rowOff>162318</xdr:rowOff>
    </xdr:from>
    <xdr:ext cx="481788" cy="92843"/>
    <xdr:sp macro="" textlink="">
      <xdr:nvSpPr>
        <xdr:cNvPr id="191" name="正方形/長方形 190">
          <a:extLst>
            <a:ext uri="{FF2B5EF4-FFF2-40B4-BE49-F238E27FC236}">
              <a16:creationId xmlns:a16="http://schemas.microsoft.com/office/drawing/2014/main" id="{9A2655A0-C22C-4486-B4D8-1F4D357CAF36}"/>
            </a:ext>
          </a:extLst>
        </xdr:cNvPr>
        <xdr:cNvSpPr/>
      </xdr:nvSpPr>
      <xdr:spPr>
        <a:xfrm>
          <a:off x="14680177" y="3134118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59</xdr:col>
      <xdr:colOff>171450</xdr:colOff>
      <xdr:row>4</xdr:row>
      <xdr:rowOff>190264</xdr:rowOff>
    </xdr:from>
    <xdr:ext cx="547258" cy="2021589"/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3C0B62B1-EB15-4E33-BCA7-17C3CBDF43BE}"/>
            </a:ext>
          </a:extLst>
        </xdr:cNvPr>
        <xdr:cNvCxnSpPr/>
      </xdr:nvCxnSpPr>
      <xdr:spPr>
        <a:xfrm flipH="1">
          <a:off x="15030450" y="1104664"/>
          <a:ext cx="547258" cy="202158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58</xdr:col>
      <xdr:colOff>186681</xdr:colOff>
      <xdr:row>11</xdr:row>
      <xdr:rowOff>218921</xdr:rowOff>
    </xdr:from>
    <xdr:ext cx="312805" cy="0"/>
    <xdr:cxnSp macro="">
      <xdr:nvCxnSpPr>
        <xdr:cNvPr id="193" name="直線コネクタ 192">
          <a:extLst>
            <a:ext uri="{FF2B5EF4-FFF2-40B4-BE49-F238E27FC236}">
              <a16:creationId xmlns:a16="http://schemas.microsoft.com/office/drawing/2014/main" id="{30C0973E-E306-4EC2-8DC6-1BB3B36CC23F}"/>
            </a:ext>
          </a:extLst>
        </xdr:cNvPr>
        <xdr:cNvCxnSpPr/>
      </xdr:nvCxnSpPr>
      <xdr:spPr>
        <a:xfrm>
          <a:off x="14817081" y="273352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48647</xdr:colOff>
      <xdr:row>10</xdr:row>
      <xdr:rowOff>98907</xdr:rowOff>
    </xdr:from>
    <xdr:ext cx="319700" cy="0"/>
    <xdr:cxnSp macro="">
      <xdr:nvCxnSpPr>
        <xdr:cNvPr id="194" name="直線コネクタ 193">
          <a:extLst>
            <a:ext uri="{FF2B5EF4-FFF2-40B4-BE49-F238E27FC236}">
              <a16:creationId xmlns:a16="http://schemas.microsoft.com/office/drawing/2014/main" id="{ED40AB3A-C1D8-42E5-9B43-84AF3FF518DF}"/>
            </a:ext>
          </a:extLst>
        </xdr:cNvPr>
        <xdr:cNvCxnSpPr/>
      </xdr:nvCxnSpPr>
      <xdr:spPr>
        <a:xfrm>
          <a:off x="14907647" y="238490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158710</xdr:colOff>
      <xdr:row>8</xdr:row>
      <xdr:rowOff>205043</xdr:rowOff>
    </xdr:from>
    <xdr:ext cx="312806" cy="0"/>
    <xdr:cxnSp macro="">
      <xdr:nvCxnSpPr>
        <xdr:cNvPr id="195" name="直線コネクタ 194">
          <a:extLst>
            <a:ext uri="{FF2B5EF4-FFF2-40B4-BE49-F238E27FC236}">
              <a16:creationId xmlns:a16="http://schemas.microsoft.com/office/drawing/2014/main" id="{C9A2D59F-0F98-4001-8191-F5E83722B253}"/>
            </a:ext>
          </a:extLst>
        </xdr:cNvPr>
        <xdr:cNvCxnSpPr/>
      </xdr:nvCxnSpPr>
      <xdr:spPr>
        <a:xfrm>
          <a:off x="15017710" y="2033843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17655</xdr:colOff>
      <xdr:row>7</xdr:row>
      <xdr:rowOff>74140</xdr:rowOff>
    </xdr:from>
    <xdr:ext cx="310084" cy="0"/>
    <xdr:cxnSp macro="">
      <xdr:nvCxnSpPr>
        <xdr:cNvPr id="196" name="直線コネクタ 195">
          <a:extLst>
            <a:ext uri="{FF2B5EF4-FFF2-40B4-BE49-F238E27FC236}">
              <a16:creationId xmlns:a16="http://schemas.microsoft.com/office/drawing/2014/main" id="{B71E72F9-46B8-4231-BB7A-1A45D4508052}"/>
            </a:ext>
          </a:extLst>
        </xdr:cNvPr>
        <xdr:cNvCxnSpPr/>
      </xdr:nvCxnSpPr>
      <xdr:spPr>
        <a:xfrm>
          <a:off x="15105255" y="167434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121681</xdr:colOff>
      <xdr:row>5</xdr:row>
      <xdr:rowOff>160682</xdr:rowOff>
    </xdr:from>
    <xdr:ext cx="312805" cy="0"/>
    <xdr:cxnSp macro="">
      <xdr:nvCxnSpPr>
        <xdr:cNvPr id="197" name="直線コネクタ 196">
          <a:extLst>
            <a:ext uri="{FF2B5EF4-FFF2-40B4-BE49-F238E27FC236}">
              <a16:creationId xmlns:a16="http://schemas.microsoft.com/office/drawing/2014/main" id="{E11FB29A-BCF7-42D9-B41E-9774636E1B4A}"/>
            </a:ext>
          </a:extLst>
        </xdr:cNvPr>
        <xdr:cNvCxnSpPr/>
      </xdr:nvCxnSpPr>
      <xdr:spPr>
        <a:xfrm>
          <a:off x="15209281" y="130368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172186</xdr:colOff>
      <xdr:row>4</xdr:row>
      <xdr:rowOff>184765</xdr:rowOff>
    </xdr:from>
    <xdr:ext cx="426244" cy="0"/>
    <xdr:cxnSp macro="">
      <xdr:nvCxnSpPr>
        <xdr:cNvPr id="198" name="直線コネクタ 197">
          <a:extLst>
            <a:ext uri="{FF2B5EF4-FFF2-40B4-BE49-F238E27FC236}">
              <a16:creationId xmlns:a16="http://schemas.microsoft.com/office/drawing/2014/main" id="{36C19558-F68A-478F-8008-3134DA383812}"/>
            </a:ext>
          </a:extLst>
        </xdr:cNvPr>
        <xdr:cNvCxnSpPr/>
      </xdr:nvCxnSpPr>
      <xdr:spPr>
        <a:xfrm>
          <a:off x="15259786" y="1099165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228180</xdr:colOff>
      <xdr:row>7</xdr:row>
      <xdr:rowOff>59613</xdr:rowOff>
    </xdr:from>
    <xdr:ext cx="37664" cy="42986"/>
    <xdr:sp macro="" textlink="">
      <xdr:nvSpPr>
        <xdr:cNvPr id="199" name="楕円 198">
          <a:extLst>
            <a:ext uri="{FF2B5EF4-FFF2-40B4-BE49-F238E27FC236}">
              <a16:creationId xmlns:a16="http://schemas.microsoft.com/office/drawing/2014/main" id="{ECC5592F-DA8E-4E89-AA53-5CA04DE3E9DA}"/>
            </a:ext>
          </a:extLst>
        </xdr:cNvPr>
        <xdr:cNvSpPr/>
      </xdr:nvSpPr>
      <xdr:spPr>
        <a:xfrm>
          <a:off x="15087180" y="1659813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59</xdr:col>
      <xdr:colOff>54107</xdr:colOff>
      <xdr:row>12</xdr:row>
      <xdr:rowOff>147374</xdr:rowOff>
    </xdr:from>
    <xdr:ext cx="37664" cy="42986"/>
    <xdr:sp macro="" textlink="">
      <xdr:nvSpPr>
        <xdr:cNvPr id="200" name="楕円 199">
          <a:extLst>
            <a:ext uri="{FF2B5EF4-FFF2-40B4-BE49-F238E27FC236}">
              <a16:creationId xmlns:a16="http://schemas.microsoft.com/office/drawing/2014/main" id="{875926EB-1798-492E-AAA8-C976B5B2CB02}"/>
            </a:ext>
          </a:extLst>
        </xdr:cNvPr>
        <xdr:cNvSpPr/>
      </xdr:nvSpPr>
      <xdr:spPr>
        <a:xfrm>
          <a:off x="149131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59</xdr:col>
      <xdr:colOff>8610</xdr:colOff>
      <xdr:row>5</xdr:row>
      <xdr:rowOff>9624</xdr:rowOff>
    </xdr:from>
    <xdr:ext cx="444352" cy="224998"/>
    <xdr:sp macro="" textlink="$AQ$9">
      <xdr:nvSpPr>
        <xdr:cNvPr id="201" name="テキスト ボックス 200">
          <a:extLst>
            <a:ext uri="{FF2B5EF4-FFF2-40B4-BE49-F238E27FC236}">
              <a16:creationId xmlns:a16="http://schemas.microsoft.com/office/drawing/2014/main" id="{B0A9A944-62B7-48AF-BECE-838C953390F2}"/>
            </a:ext>
          </a:extLst>
        </xdr:cNvPr>
        <xdr:cNvSpPr txBox="1"/>
      </xdr:nvSpPr>
      <xdr:spPr>
        <a:xfrm>
          <a:off x="13571359" y="115900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3F4410B-8A2F-4B55-BECA-87FB9BE85CFA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60</xdr:col>
      <xdr:colOff>9900</xdr:colOff>
      <xdr:row>5</xdr:row>
      <xdr:rowOff>52786</xdr:rowOff>
    </xdr:from>
    <xdr:ext cx="100437" cy="0"/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D7482EC4-8A20-4D8C-92E0-B9AD9C52E976}"/>
            </a:ext>
          </a:extLst>
        </xdr:cNvPr>
        <xdr:cNvCxnSpPr/>
      </xdr:nvCxnSpPr>
      <xdr:spPr>
        <a:xfrm>
          <a:off x="15097500" y="1195786"/>
          <a:ext cx="10043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227551</xdr:colOff>
      <xdr:row>5</xdr:row>
      <xdr:rowOff>22150</xdr:rowOff>
    </xdr:from>
    <xdr:ext cx="0" cy="218955"/>
    <xdr:cxnSp macro="">
      <xdr:nvCxnSpPr>
        <xdr:cNvPr id="203" name="直線コネクタ 202">
          <a:extLst>
            <a:ext uri="{FF2B5EF4-FFF2-40B4-BE49-F238E27FC236}">
              <a16:creationId xmlns:a16="http://schemas.microsoft.com/office/drawing/2014/main" id="{C9B8FDF3-B2E2-46B0-9D0B-347982136D44}"/>
            </a:ext>
          </a:extLst>
        </xdr:cNvPr>
        <xdr:cNvCxnSpPr/>
      </xdr:nvCxnSpPr>
      <xdr:spPr>
        <a:xfrm>
          <a:off x="15086551" y="1165150"/>
          <a:ext cx="0" cy="218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30310</xdr:colOff>
      <xdr:row>9</xdr:row>
      <xdr:rowOff>118663</xdr:rowOff>
    </xdr:from>
    <xdr:ext cx="37664" cy="42986"/>
    <xdr:sp macro="" textlink="">
      <xdr:nvSpPr>
        <xdr:cNvPr id="204" name="楕円 203">
          <a:extLst>
            <a:ext uri="{FF2B5EF4-FFF2-40B4-BE49-F238E27FC236}">
              <a16:creationId xmlns:a16="http://schemas.microsoft.com/office/drawing/2014/main" id="{EDF19B0D-42D1-4213-A751-6C729375D5F6}"/>
            </a:ext>
          </a:extLst>
        </xdr:cNvPr>
        <xdr:cNvSpPr/>
      </xdr:nvSpPr>
      <xdr:spPr>
        <a:xfrm>
          <a:off x="151179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60</xdr:col>
      <xdr:colOff>7565</xdr:colOff>
      <xdr:row>6</xdr:row>
      <xdr:rowOff>161466</xdr:rowOff>
    </xdr:from>
    <xdr:ext cx="0" cy="58666"/>
    <xdr:cxnSp macro="">
      <xdr:nvCxnSpPr>
        <xdr:cNvPr id="205" name="直線コネクタ 204">
          <a:extLst>
            <a:ext uri="{FF2B5EF4-FFF2-40B4-BE49-F238E27FC236}">
              <a16:creationId xmlns:a16="http://schemas.microsoft.com/office/drawing/2014/main" id="{B0E7642F-9855-45D3-91F5-C94F6BEE32D1}"/>
            </a:ext>
          </a:extLst>
        </xdr:cNvPr>
        <xdr:cNvCxnSpPr/>
      </xdr:nvCxnSpPr>
      <xdr:spPr>
        <a:xfrm>
          <a:off x="15095165" y="153306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117564</xdr:colOff>
      <xdr:row>5</xdr:row>
      <xdr:rowOff>51564</xdr:rowOff>
    </xdr:from>
    <xdr:ext cx="219223" cy="0"/>
    <xdr:cxnSp macro="">
      <xdr:nvCxnSpPr>
        <xdr:cNvPr id="206" name="直線コネクタ 205">
          <a:extLst>
            <a:ext uri="{FF2B5EF4-FFF2-40B4-BE49-F238E27FC236}">
              <a16:creationId xmlns:a16="http://schemas.microsoft.com/office/drawing/2014/main" id="{897F8CEE-E5FD-4960-9954-0A9C42662A3F}"/>
            </a:ext>
          </a:extLst>
        </xdr:cNvPr>
        <xdr:cNvCxnSpPr/>
      </xdr:nvCxnSpPr>
      <xdr:spPr>
        <a:xfrm>
          <a:off x="15205164" y="1194564"/>
          <a:ext cx="2192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109556</xdr:colOff>
      <xdr:row>5</xdr:row>
      <xdr:rowOff>12256</xdr:rowOff>
    </xdr:from>
    <xdr:ext cx="0" cy="58666"/>
    <xdr:cxnSp macro="">
      <xdr:nvCxnSpPr>
        <xdr:cNvPr id="207" name="直線コネクタ 206">
          <a:extLst>
            <a:ext uri="{FF2B5EF4-FFF2-40B4-BE49-F238E27FC236}">
              <a16:creationId xmlns:a16="http://schemas.microsoft.com/office/drawing/2014/main" id="{8C2AB1D9-80A3-4CA2-AA18-74947224BD4D}"/>
            </a:ext>
          </a:extLst>
        </xdr:cNvPr>
        <xdr:cNvCxnSpPr/>
      </xdr:nvCxnSpPr>
      <xdr:spPr>
        <a:xfrm>
          <a:off x="15425756" y="115525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60</xdr:col>
      <xdr:colOff>101618</xdr:colOff>
      <xdr:row>5</xdr:row>
      <xdr:rowOff>6486</xdr:rowOff>
    </xdr:from>
    <xdr:ext cx="444352" cy="224998"/>
    <xdr:sp macro="" textlink="$AT$9">
      <xdr:nvSpPr>
        <xdr:cNvPr id="208" name="テキスト ボックス 207">
          <a:extLst>
            <a:ext uri="{FF2B5EF4-FFF2-40B4-BE49-F238E27FC236}">
              <a16:creationId xmlns:a16="http://schemas.microsoft.com/office/drawing/2014/main" id="{B9EEA09C-AD41-423A-872F-830B325E7A96}"/>
            </a:ext>
          </a:extLst>
        </xdr:cNvPr>
        <xdr:cNvSpPr txBox="1"/>
      </xdr:nvSpPr>
      <xdr:spPr>
        <a:xfrm>
          <a:off x="13894244" y="115587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90AB4CC-C789-4669-90A0-E7307D194AA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60</xdr:col>
      <xdr:colOff>133473</xdr:colOff>
      <xdr:row>8</xdr:row>
      <xdr:rowOff>5870</xdr:rowOff>
    </xdr:from>
    <xdr:ext cx="37664" cy="42986"/>
    <xdr:sp macro="" textlink="">
      <xdr:nvSpPr>
        <xdr:cNvPr id="209" name="楕円 208">
          <a:extLst>
            <a:ext uri="{FF2B5EF4-FFF2-40B4-BE49-F238E27FC236}">
              <a16:creationId xmlns:a16="http://schemas.microsoft.com/office/drawing/2014/main" id="{AFD13382-149B-458E-8204-A1789B256C48}"/>
            </a:ext>
          </a:extLst>
        </xdr:cNvPr>
        <xdr:cNvSpPr/>
      </xdr:nvSpPr>
      <xdr:spPr>
        <a:xfrm>
          <a:off x="15221073" y="183467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61</xdr:col>
      <xdr:colOff>93615</xdr:colOff>
      <xdr:row>4</xdr:row>
      <xdr:rowOff>196621</xdr:rowOff>
    </xdr:from>
    <xdr:ext cx="37664" cy="42986"/>
    <xdr:sp macro="" textlink="">
      <xdr:nvSpPr>
        <xdr:cNvPr id="210" name="楕円 209">
          <a:extLst>
            <a:ext uri="{FF2B5EF4-FFF2-40B4-BE49-F238E27FC236}">
              <a16:creationId xmlns:a16="http://schemas.microsoft.com/office/drawing/2014/main" id="{91CC96A7-24FE-4175-B44F-337A3920D5AC}"/>
            </a:ext>
          </a:extLst>
        </xdr:cNvPr>
        <xdr:cNvSpPr/>
      </xdr:nvSpPr>
      <xdr:spPr>
        <a:xfrm>
          <a:off x="15409815" y="111102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59</xdr:col>
      <xdr:colOff>154575</xdr:colOff>
      <xdr:row>11</xdr:row>
      <xdr:rowOff>13742</xdr:rowOff>
    </xdr:from>
    <xdr:ext cx="37664" cy="42986"/>
    <xdr:sp macro="" textlink="">
      <xdr:nvSpPr>
        <xdr:cNvPr id="211" name="楕円 210">
          <a:extLst>
            <a:ext uri="{FF2B5EF4-FFF2-40B4-BE49-F238E27FC236}">
              <a16:creationId xmlns:a16="http://schemas.microsoft.com/office/drawing/2014/main" id="{896ECE4C-68A6-4408-A98B-6DDAD83E9E65}"/>
            </a:ext>
          </a:extLst>
        </xdr:cNvPr>
        <xdr:cNvSpPr/>
      </xdr:nvSpPr>
      <xdr:spPr>
        <a:xfrm>
          <a:off x="150135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60</xdr:col>
      <xdr:colOff>17919</xdr:colOff>
      <xdr:row>6</xdr:row>
      <xdr:rowOff>184371</xdr:rowOff>
    </xdr:from>
    <xdr:ext cx="240323" cy="0"/>
    <xdr:cxnSp macro="">
      <xdr:nvCxnSpPr>
        <xdr:cNvPr id="212" name="直線コネクタ 211">
          <a:extLst>
            <a:ext uri="{FF2B5EF4-FFF2-40B4-BE49-F238E27FC236}">
              <a16:creationId xmlns:a16="http://schemas.microsoft.com/office/drawing/2014/main" id="{5D9EDFE5-08E9-4214-9490-27E2F088553A}"/>
            </a:ext>
          </a:extLst>
        </xdr:cNvPr>
        <xdr:cNvCxnSpPr/>
      </xdr:nvCxnSpPr>
      <xdr:spPr>
        <a:xfrm>
          <a:off x="15105519" y="1555971"/>
          <a:ext cx="24032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61</xdr:col>
      <xdr:colOff>31011</xdr:colOff>
      <xdr:row>6</xdr:row>
      <xdr:rowOff>145063</xdr:rowOff>
    </xdr:from>
    <xdr:ext cx="0" cy="58666"/>
    <xdr:cxnSp macro="">
      <xdr:nvCxnSpPr>
        <xdr:cNvPr id="213" name="直線コネクタ 212">
          <a:extLst>
            <a:ext uri="{FF2B5EF4-FFF2-40B4-BE49-F238E27FC236}">
              <a16:creationId xmlns:a16="http://schemas.microsoft.com/office/drawing/2014/main" id="{9C678940-A084-4FC8-9204-F502979D1A53}"/>
            </a:ext>
          </a:extLst>
        </xdr:cNvPr>
        <xdr:cNvCxnSpPr/>
      </xdr:nvCxnSpPr>
      <xdr:spPr>
        <a:xfrm>
          <a:off x="15347211" y="151666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74384</xdr:colOff>
      <xdr:row>5</xdr:row>
      <xdr:rowOff>229500</xdr:rowOff>
    </xdr:from>
    <xdr:ext cx="444352" cy="224998"/>
    <xdr:sp macro="" textlink="$AT$10">
      <xdr:nvSpPr>
        <xdr:cNvPr id="214" name="テキスト ボックス 213">
          <a:extLst>
            <a:ext uri="{FF2B5EF4-FFF2-40B4-BE49-F238E27FC236}">
              <a16:creationId xmlns:a16="http://schemas.microsoft.com/office/drawing/2014/main" id="{DCB6AFC2-2CA1-4021-B9D4-69CC03DB7C75}"/>
            </a:ext>
          </a:extLst>
        </xdr:cNvPr>
        <xdr:cNvSpPr txBox="1"/>
      </xdr:nvSpPr>
      <xdr:spPr>
        <a:xfrm>
          <a:off x="13637133" y="137888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DFE15C5-3290-45D6-B14B-00AA115D44A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15070</xdr:colOff>
      <xdr:row>6</xdr:row>
      <xdr:rowOff>92623</xdr:rowOff>
    </xdr:from>
    <xdr:ext cx="37664" cy="42986"/>
    <xdr:sp macro="" textlink="">
      <xdr:nvSpPr>
        <xdr:cNvPr id="215" name="楕円 214">
          <a:extLst>
            <a:ext uri="{FF2B5EF4-FFF2-40B4-BE49-F238E27FC236}">
              <a16:creationId xmlns:a16="http://schemas.microsoft.com/office/drawing/2014/main" id="{7263C3C2-DE29-4421-A2CF-6BB2BE0E85F6}"/>
            </a:ext>
          </a:extLst>
        </xdr:cNvPr>
        <xdr:cNvSpPr/>
      </xdr:nvSpPr>
      <xdr:spPr>
        <a:xfrm>
          <a:off x="15331270" y="146422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60</xdr:col>
      <xdr:colOff>115271</xdr:colOff>
      <xdr:row>5</xdr:row>
      <xdr:rowOff>25591</xdr:rowOff>
    </xdr:from>
    <xdr:ext cx="0" cy="58666"/>
    <xdr:cxnSp macro="">
      <xdr:nvCxnSpPr>
        <xdr:cNvPr id="216" name="直線コネクタ 215">
          <a:extLst>
            <a:ext uri="{FF2B5EF4-FFF2-40B4-BE49-F238E27FC236}">
              <a16:creationId xmlns:a16="http://schemas.microsoft.com/office/drawing/2014/main" id="{EE2250F2-4261-4550-A551-3B07CE0D437F}"/>
            </a:ext>
          </a:extLst>
        </xdr:cNvPr>
        <xdr:cNvCxnSpPr/>
      </xdr:nvCxnSpPr>
      <xdr:spPr>
        <a:xfrm>
          <a:off x="15202871" y="1168591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216139</xdr:colOff>
      <xdr:row>4</xdr:row>
      <xdr:rowOff>101564</xdr:rowOff>
    </xdr:from>
    <xdr:ext cx="409788" cy="0"/>
    <xdr:cxnSp macro="">
      <xdr:nvCxnSpPr>
        <xdr:cNvPr id="217" name="直線コネクタ 216">
          <a:extLst>
            <a:ext uri="{FF2B5EF4-FFF2-40B4-BE49-F238E27FC236}">
              <a16:creationId xmlns:a16="http://schemas.microsoft.com/office/drawing/2014/main" id="{0213E9DE-BA4E-4D79-BD8D-D2A3330C4401}"/>
            </a:ext>
          </a:extLst>
        </xdr:cNvPr>
        <xdr:cNvCxnSpPr/>
      </xdr:nvCxnSpPr>
      <xdr:spPr>
        <a:xfrm>
          <a:off x="7302739" y="1015964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43612</xdr:colOff>
      <xdr:row>4</xdr:row>
      <xdr:rowOff>101564</xdr:rowOff>
    </xdr:from>
    <xdr:ext cx="581793" cy="2117993"/>
    <xdr:cxnSp macro="">
      <xdr:nvCxnSpPr>
        <xdr:cNvPr id="218" name="直線コネクタ 217">
          <a:extLst>
            <a:ext uri="{FF2B5EF4-FFF2-40B4-BE49-F238E27FC236}">
              <a16:creationId xmlns:a16="http://schemas.microsoft.com/office/drawing/2014/main" id="{01799FC1-E7AA-48C2-A657-3F717B2155AA}"/>
            </a:ext>
          </a:extLst>
        </xdr:cNvPr>
        <xdr:cNvCxnSpPr/>
      </xdr:nvCxnSpPr>
      <xdr:spPr>
        <a:xfrm flipH="1">
          <a:off x="7130212" y="1015964"/>
          <a:ext cx="581793" cy="211799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23</xdr:col>
      <xdr:colOff>87726</xdr:colOff>
      <xdr:row>4</xdr:row>
      <xdr:rowOff>101564</xdr:rowOff>
    </xdr:from>
    <xdr:ext cx="581036" cy="2115061"/>
    <xdr:cxnSp macro="">
      <xdr:nvCxnSpPr>
        <xdr:cNvPr id="219" name="直線コネクタ 218">
          <a:extLst>
            <a:ext uri="{FF2B5EF4-FFF2-40B4-BE49-F238E27FC236}">
              <a16:creationId xmlns:a16="http://schemas.microsoft.com/office/drawing/2014/main" id="{1A99C479-C96B-4A19-A208-8C3064C6B395}"/>
            </a:ext>
          </a:extLst>
        </xdr:cNvPr>
        <xdr:cNvCxnSpPr/>
      </xdr:nvCxnSpPr>
      <xdr:spPr>
        <a:xfrm flipH="1">
          <a:off x="6717126" y="1015964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23</xdr:col>
      <xdr:colOff>56415</xdr:colOff>
      <xdr:row>13</xdr:row>
      <xdr:rowOff>162318</xdr:rowOff>
    </xdr:from>
    <xdr:ext cx="481788" cy="92843"/>
    <xdr:sp macro="" textlink="">
      <xdr:nvSpPr>
        <xdr:cNvPr id="220" name="正方形/長方形 219">
          <a:extLst>
            <a:ext uri="{FF2B5EF4-FFF2-40B4-BE49-F238E27FC236}">
              <a16:creationId xmlns:a16="http://schemas.microsoft.com/office/drawing/2014/main" id="{3D54CEC5-6B7C-4A8C-8F56-19BB3FD81E09}"/>
            </a:ext>
          </a:extLst>
        </xdr:cNvPr>
        <xdr:cNvSpPr/>
      </xdr:nvSpPr>
      <xdr:spPr>
        <a:xfrm>
          <a:off x="6685815" y="3134118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24</xdr:col>
      <xdr:colOff>181155</xdr:colOff>
      <xdr:row>4</xdr:row>
      <xdr:rowOff>190264</xdr:rowOff>
    </xdr:from>
    <xdr:ext cx="537554" cy="1985741"/>
    <xdr:cxnSp macro="">
      <xdr:nvCxnSpPr>
        <xdr:cNvPr id="221" name="直線コネクタ 220">
          <a:extLst>
            <a:ext uri="{FF2B5EF4-FFF2-40B4-BE49-F238E27FC236}">
              <a16:creationId xmlns:a16="http://schemas.microsoft.com/office/drawing/2014/main" id="{A7E48052-5EF3-4C63-AE45-AD9F111B3831}"/>
            </a:ext>
          </a:extLst>
        </xdr:cNvPr>
        <xdr:cNvCxnSpPr/>
      </xdr:nvCxnSpPr>
      <xdr:spPr>
        <a:xfrm flipH="1">
          <a:off x="7039155" y="1104664"/>
          <a:ext cx="537554" cy="198574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23</xdr:col>
      <xdr:colOff>186681</xdr:colOff>
      <xdr:row>11</xdr:row>
      <xdr:rowOff>218921</xdr:rowOff>
    </xdr:from>
    <xdr:ext cx="312805" cy="0"/>
    <xdr:cxnSp macro="">
      <xdr:nvCxnSpPr>
        <xdr:cNvPr id="222" name="直線コネクタ 221">
          <a:extLst>
            <a:ext uri="{FF2B5EF4-FFF2-40B4-BE49-F238E27FC236}">
              <a16:creationId xmlns:a16="http://schemas.microsoft.com/office/drawing/2014/main" id="{F9E74A2C-9708-4081-A473-3C6C0B5692BF}"/>
            </a:ext>
          </a:extLst>
        </xdr:cNvPr>
        <xdr:cNvCxnSpPr/>
      </xdr:nvCxnSpPr>
      <xdr:spPr>
        <a:xfrm>
          <a:off x="6816081" y="273352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24</xdr:col>
      <xdr:colOff>48647</xdr:colOff>
      <xdr:row>10</xdr:row>
      <xdr:rowOff>98907</xdr:rowOff>
    </xdr:from>
    <xdr:ext cx="319700" cy="0"/>
    <xdr:cxnSp macro="">
      <xdr:nvCxnSpPr>
        <xdr:cNvPr id="223" name="直線コネクタ 222">
          <a:extLst>
            <a:ext uri="{FF2B5EF4-FFF2-40B4-BE49-F238E27FC236}">
              <a16:creationId xmlns:a16="http://schemas.microsoft.com/office/drawing/2014/main" id="{4FB26751-3AEB-47F7-8B9D-18E76513F63B}"/>
            </a:ext>
          </a:extLst>
        </xdr:cNvPr>
        <xdr:cNvCxnSpPr/>
      </xdr:nvCxnSpPr>
      <xdr:spPr>
        <a:xfrm>
          <a:off x="6906647" y="238490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24</xdr:col>
      <xdr:colOff>158711</xdr:colOff>
      <xdr:row>8</xdr:row>
      <xdr:rowOff>205043</xdr:rowOff>
    </xdr:from>
    <xdr:ext cx="312806" cy="0"/>
    <xdr:cxnSp macro="">
      <xdr:nvCxnSpPr>
        <xdr:cNvPr id="224" name="直線コネクタ 223">
          <a:extLst>
            <a:ext uri="{FF2B5EF4-FFF2-40B4-BE49-F238E27FC236}">
              <a16:creationId xmlns:a16="http://schemas.microsoft.com/office/drawing/2014/main" id="{7E6C8880-901B-4598-A555-7472CC19E65A}"/>
            </a:ext>
          </a:extLst>
        </xdr:cNvPr>
        <xdr:cNvCxnSpPr/>
      </xdr:nvCxnSpPr>
      <xdr:spPr>
        <a:xfrm>
          <a:off x="7016711" y="2033843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17655</xdr:colOff>
      <xdr:row>7</xdr:row>
      <xdr:rowOff>74140</xdr:rowOff>
    </xdr:from>
    <xdr:ext cx="310084" cy="0"/>
    <xdr:cxnSp macro="">
      <xdr:nvCxnSpPr>
        <xdr:cNvPr id="225" name="直線コネクタ 224">
          <a:extLst>
            <a:ext uri="{FF2B5EF4-FFF2-40B4-BE49-F238E27FC236}">
              <a16:creationId xmlns:a16="http://schemas.microsoft.com/office/drawing/2014/main" id="{7DC23E25-50BA-40CD-BDA9-385F384CC466}"/>
            </a:ext>
          </a:extLst>
        </xdr:cNvPr>
        <xdr:cNvCxnSpPr/>
      </xdr:nvCxnSpPr>
      <xdr:spPr>
        <a:xfrm>
          <a:off x="7104255" y="167434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121681</xdr:colOff>
      <xdr:row>5</xdr:row>
      <xdr:rowOff>160682</xdr:rowOff>
    </xdr:from>
    <xdr:ext cx="312805" cy="0"/>
    <xdr:cxnSp macro="">
      <xdr:nvCxnSpPr>
        <xdr:cNvPr id="226" name="直線コネクタ 225">
          <a:extLst>
            <a:ext uri="{FF2B5EF4-FFF2-40B4-BE49-F238E27FC236}">
              <a16:creationId xmlns:a16="http://schemas.microsoft.com/office/drawing/2014/main" id="{4566A2A4-F936-4947-B22A-DC574A9D0B01}"/>
            </a:ext>
          </a:extLst>
        </xdr:cNvPr>
        <xdr:cNvCxnSpPr/>
      </xdr:nvCxnSpPr>
      <xdr:spPr>
        <a:xfrm>
          <a:off x="7208281" y="130368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172186</xdr:colOff>
      <xdr:row>4</xdr:row>
      <xdr:rowOff>184765</xdr:rowOff>
    </xdr:from>
    <xdr:ext cx="426244" cy="0"/>
    <xdr:cxnSp macro="">
      <xdr:nvCxnSpPr>
        <xdr:cNvPr id="227" name="直線コネクタ 226">
          <a:extLst>
            <a:ext uri="{FF2B5EF4-FFF2-40B4-BE49-F238E27FC236}">
              <a16:creationId xmlns:a16="http://schemas.microsoft.com/office/drawing/2014/main" id="{41062FF4-7DF9-438F-8A43-F34D8991C1C3}"/>
            </a:ext>
          </a:extLst>
        </xdr:cNvPr>
        <xdr:cNvCxnSpPr/>
      </xdr:nvCxnSpPr>
      <xdr:spPr>
        <a:xfrm>
          <a:off x="7258786" y="1099165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112973</xdr:colOff>
      <xdr:row>5</xdr:row>
      <xdr:rowOff>136720</xdr:rowOff>
    </xdr:from>
    <xdr:ext cx="37664" cy="42986"/>
    <xdr:sp macro="" textlink="">
      <xdr:nvSpPr>
        <xdr:cNvPr id="228" name="楕円 227">
          <a:extLst>
            <a:ext uri="{FF2B5EF4-FFF2-40B4-BE49-F238E27FC236}">
              <a16:creationId xmlns:a16="http://schemas.microsoft.com/office/drawing/2014/main" id="{6A1DC9D6-0AE4-4170-BF6F-BA885E644970}"/>
            </a:ext>
          </a:extLst>
        </xdr:cNvPr>
        <xdr:cNvSpPr/>
      </xdr:nvSpPr>
      <xdr:spPr>
        <a:xfrm>
          <a:off x="7199573" y="1279720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24</xdr:col>
      <xdr:colOff>54107</xdr:colOff>
      <xdr:row>12</xdr:row>
      <xdr:rowOff>147374</xdr:rowOff>
    </xdr:from>
    <xdr:ext cx="37664" cy="42986"/>
    <xdr:sp macro="" textlink="">
      <xdr:nvSpPr>
        <xdr:cNvPr id="229" name="楕円 228">
          <a:extLst>
            <a:ext uri="{FF2B5EF4-FFF2-40B4-BE49-F238E27FC236}">
              <a16:creationId xmlns:a16="http://schemas.microsoft.com/office/drawing/2014/main" id="{5D1B4F61-636C-45E3-83DE-E025D81607E0}"/>
            </a:ext>
          </a:extLst>
        </xdr:cNvPr>
        <xdr:cNvSpPr/>
      </xdr:nvSpPr>
      <xdr:spPr>
        <a:xfrm>
          <a:off x="69121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25</xdr:col>
      <xdr:colOff>30310</xdr:colOff>
      <xdr:row>9</xdr:row>
      <xdr:rowOff>118663</xdr:rowOff>
    </xdr:from>
    <xdr:ext cx="37664" cy="42986"/>
    <xdr:sp macro="" textlink="">
      <xdr:nvSpPr>
        <xdr:cNvPr id="230" name="楕円 229">
          <a:extLst>
            <a:ext uri="{FF2B5EF4-FFF2-40B4-BE49-F238E27FC236}">
              <a16:creationId xmlns:a16="http://schemas.microsoft.com/office/drawing/2014/main" id="{ED9066ED-24AB-4D88-85B9-F980C5084FD2}"/>
            </a:ext>
          </a:extLst>
        </xdr:cNvPr>
        <xdr:cNvSpPr/>
      </xdr:nvSpPr>
      <xdr:spPr>
        <a:xfrm>
          <a:off x="71169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25</xdr:col>
      <xdr:colOff>117564</xdr:colOff>
      <xdr:row>5</xdr:row>
      <xdr:rowOff>51564</xdr:rowOff>
    </xdr:from>
    <xdr:ext cx="219223" cy="0"/>
    <xdr:cxnSp macro="">
      <xdr:nvCxnSpPr>
        <xdr:cNvPr id="231" name="直線コネクタ 230">
          <a:extLst>
            <a:ext uri="{FF2B5EF4-FFF2-40B4-BE49-F238E27FC236}">
              <a16:creationId xmlns:a16="http://schemas.microsoft.com/office/drawing/2014/main" id="{020AA770-ACA7-4EC0-B9D8-A151094DA42F}"/>
            </a:ext>
          </a:extLst>
        </xdr:cNvPr>
        <xdr:cNvCxnSpPr/>
      </xdr:nvCxnSpPr>
      <xdr:spPr>
        <a:xfrm>
          <a:off x="7204164" y="1194564"/>
          <a:ext cx="219223" cy="0"/>
        </a:xfrm>
        <a:prstGeom prst="line">
          <a:avLst/>
        </a:prstGeom>
        <a:ln w="3175">
          <a:solidFill>
            <a:srgbClr val="0070C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109556</xdr:colOff>
      <xdr:row>5</xdr:row>
      <xdr:rowOff>12256</xdr:rowOff>
    </xdr:from>
    <xdr:ext cx="0" cy="58666"/>
    <xdr:cxnSp macro="">
      <xdr:nvCxnSpPr>
        <xdr:cNvPr id="232" name="直線コネクタ 231">
          <a:extLst>
            <a:ext uri="{FF2B5EF4-FFF2-40B4-BE49-F238E27FC236}">
              <a16:creationId xmlns:a16="http://schemas.microsoft.com/office/drawing/2014/main" id="{5F3BE334-14AA-4770-A204-FB5AC9C2B307}"/>
            </a:ext>
          </a:extLst>
        </xdr:cNvPr>
        <xdr:cNvCxnSpPr/>
      </xdr:nvCxnSpPr>
      <xdr:spPr>
        <a:xfrm>
          <a:off x="7424756" y="1155256"/>
          <a:ext cx="0" cy="58666"/>
        </a:xfrm>
        <a:prstGeom prst="line">
          <a:avLst/>
        </a:prstGeom>
        <a:ln w="3175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24</xdr:col>
      <xdr:colOff>173902</xdr:colOff>
      <xdr:row>4</xdr:row>
      <xdr:rowOff>117536</xdr:rowOff>
    </xdr:from>
    <xdr:ext cx="444352" cy="224998"/>
    <xdr:sp macro="" textlink="$K$9">
      <xdr:nvSpPr>
        <xdr:cNvPr id="233" name="テキスト ボックス 232">
          <a:extLst>
            <a:ext uri="{FF2B5EF4-FFF2-40B4-BE49-F238E27FC236}">
              <a16:creationId xmlns:a16="http://schemas.microsoft.com/office/drawing/2014/main" id="{167BB4A6-D7F1-477D-BED4-66A6A961C1BB}"/>
            </a:ext>
          </a:extLst>
        </xdr:cNvPr>
        <xdr:cNvSpPr txBox="1"/>
      </xdr:nvSpPr>
      <xdr:spPr>
        <a:xfrm>
          <a:off x="5690952" y="103704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85F73DA-B640-4F61-9B77-DD09796AB524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133473</xdr:colOff>
      <xdr:row>8</xdr:row>
      <xdr:rowOff>5870</xdr:rowOff>
    </xdr:from>
    <xdr:ext cx="37664" cy="42986"/>
    <xdr:sp macro="" textlink="">
      <xdr:nvSpPr>
        <xdr:cNvPr id="234" name="楕円 233">
          <a:extLst>
            <a:ext uri="{FF2B5EF4-FFF2-40B4-BE49-F238E27FC236}">
              <a16:creationId xmlns:a16="http://schemas.microsoft.com/office/drawing/2014/main" id="{B0A157CB-011B-41C7-8BFB-5B720D5E5E4B}"/>
            </a:ext>
          </a:extLst>
        </xdr:cNvPr>
        <xdr:cNvSpPr/>
      </xdr:nvSpPr>
      <xdr:spPr>
        <a:xfrm>
          <a:off x="7220073" y="183467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26</xdr:col>
      <xdr:colOff>93615</xdr:colOff>
      <xdr:row>4</xdr:row>
      <xdr:rowOff>196621</xdr:rowOff>
    </xdr:from>
    <xdr:ext cx="37664" cy="42986"/>
    <xdr:sp macro="" textlink="">
      <xdr:nvSpPr>
        <xdr:cNvPr id="235" name="楕円 234">
          <a:extLst>
            <a:ext uri="{FF2B5EF4-FFF2-40B4-BE49-F238E27FC236}">
              <a16:creationId xmlns:a16="http://schemas.microsoft.com/office/drawing/2014/main" id="{83B12B64-FD6F-4FB7-AA8A-F237D0876032}"/>
            </a:ext>
          </a:extLst>
        </xdr:cNvPr>
        <xdr:cNvSpPr/>
      </xdr:nvSpPr>
      <xdr:spPr>
        <a:xfrm>
          <a:off x="7408815" y="111102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24</xdr:col>
      <xdr:colOff>154575</xdr:colOff>
      <xdr:row>11</xdr:row>
      <xdr:rowOff>13742</xdr:rowOff>
    </xdr:from>
    <xdr:ext cx="37664" cy="42986"/>
    <xdr:sp macro="" textlink="">
      <xdr:nvSpPr>
        <xdr:cNvPr id="236" name="楕円 235">
          <a:extLst>
            <a:ext uri="{FF2B5EF4-FFF2-40B4-BE49-F238E27FC236}">
              <a16:creationId xmlns:a16="http://schemas.microsoft.com/office/drawing/2014/main" id="{2A8B3F43-D3D7-428F-A145-BC93952625CF}"/>
            </a:ext>
          </a:extLst>
        </xdr:cNvPr>
        <xdr:cNvSpPr/>
      </xdr:nvSpPr>
      <xdr:spPr>
        <a:xfrm>
          <a:off x="70125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26</xdr:col>
      <xdr:colOff>15070</xdr:colOff>
      <xdr:row>6</xdr:row>
      <xdr:rowOff>92623</xdr:rowOff>
    </xdr:from>
    <xdr:ext cx="37664" cy="42986"/>
    <xdr:sp macro="" textlink="">
      <xdr:nvSpPr>
        <xdr:cNvPr id="237" name="楕円 236">
          <a:extLst>
            <a:ext uri="{FF2B5EF4-FFF2-40B4-BE49-F238E27FC236}">
              <a16:creationId xmlns:a16="http://schemas.microsoft.com/office/drawing/2014/main" id="{84351F9B-AA5C-46C2-9093-852591AB4F94}"/>
            </a:ext>
          </a:extLst>
        </xdr:cNvPr>
        <xdr:cNvSpPr/>
      </xdr:nvSpPr>
      <xdr:spPr>
        <a:xfrm>
          <a:off x="7330270" y="146422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25</xdr:col>
      <xdr:colOff>115271</xdr:colOff>
      <xdr:row>5</xdr:row>
      <xdr:rowOff>25591</xdr:rowOff>
    </xdr:from>
    <xdr:ext cx="0" cy="58666"/>
    <xdr:cxnSp macro="">
      <xdr:nvCxnSpPr>
        <xdr:cNvPr id="238" name="直線コネクタ 237">
          <a:extLst>
            <a:ext uri="{FF2B5EF4-FFF2-40B4-BE49-F238E27FC236}">
              <a16:creationId xmlns:a16="http://schemas.microsoft.com/office/drawing/2014/main" id="{30F095FB-9D01-4106-B649-8F1BA722D849}"/>
            </a:ext>
          </a:extLst>
        </xdr:cNvPr>
        <xdr:cNvCxnSpPr/>
      </xdr:nvCxnSpPr>
      <xdr:spPr>
        <a:xfrm>
          <a:off x="7201871" y="1168591"/>
          <a:ext cx="0" cy="58666"/>
        </a:xfrm>
        <a:prstGeom prst="line">
          <a:avLst/>
        </a:prstGeom>
        <a:ln w="3175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27</xdr:col>
      <xdr:colOff>65762</xdr:colOff>
      <xdr:row>8</xdr:row>
      <xdr:rowOff>81965</xdr:rowOff>
    </xdr:from>
    <xdr:to>
      <xdr:col>27</xdr:col>
      <xdr:colOff>65762</xdr:colOff>
      <xdr:row>14</xdr:row>
      <xdr:rowOff>28511</xdr:rowOff>
    </xdr:to>
    <xdr:cxnSp macro="">
      <xdr:nvCxnSpPr>
        <xdr:cNvPr id="239" name="直線コネクタ 238">
          <a:extLst>
            <a:ext uri="{FF2B5EF4-FFF2-40B4-BE49-F238E27FC236}">
              <a16:creationId xmlns:a16="http://schemas.microsoft.com/office/drawing/2014/main" id="{3164F7CF-70FB-49D7-BD02-ADE3761A83D9}"/>
            </a:ext>
          </a:extLst>
        </xdr:cNvPr>
        <xdr:cNvCxnSpPr/>
      </xdr:nvCxnSpPr>
      <xdr:spPr>
        <a:xfrm>
          <a:off x="7609562" y="1910765"/>
          <a:ext cx="0" cy="131814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93345</xdr:colOff>
      <xdr:row>8</xdr:row>
      <xdr:rowOff>80757</xdr:rowOff>
    </xdr:from>
    <xdr:to>
      <xdr:col>28</xdr:col>
      <xdr:colOff>141432</xdr:colOff>
      <xdr:row>8</xdr:row>
      <xdr:rowOff>80757</xdr:rowOff>
    </xdr:to>
    <xdr:cxnSp macro="">
      <xdr:nvCxnSpPr>
        <xdr:cNvPr id="240" name="直線コネクタ 239">
          <a:extLst>
            <a:ext uri="{FF2B5EF4-FFF2-40B4-BE49-F238E27FC236}">
              <a16:creationId xmlns:a16="http://schemas.microsoft.com/office/drawing/2014/main" id="{6DDC17D4-8564-4EAB-8963-FA6E788930D3}"/>
            </a:ext>
          </a:extLst>
        </xdr:cNvPr>
        <xdr:cNvCxnSpPr/>
      </xdr:nvCxnSpPr>
      <xdr:spPr>
        <a:xfrm>
          <a:off x="6722745" y="1909557"/>
          <a:ext cx="119108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158473</xdr:colOff>
      <xdr:row>8</xdr:row>
      <xdr:rowOff>107599</xdr:rowOff>
    </xdr:from>
    <xdr:to>
      <xdr:col>28</xdr:col>
      <xdr:colOff>97264</xdr:colOff>
      <xdr:row>8</xdr:row>
      <xdr:rowOff>107599</xdr:rowOff>
    </xdr:to>
    <xdr:cxnSp macro="">
      <xdr:nvCxnSpPr>
        <xdr:cNvPr id="241" name="直線コネクタ 240">
          <a:extLst>
            <a:ext uri="{FF2B5EF4-FFF2-40B4-BE49-F238E27FC236}">
              <a16:creationId xmlns:a16="http://schemas.microsoft.com/office/drawing/2014/main" id="{D987B03B-A0C9-4B39-9974-1917E626EF13}"/>
            </a:ext>
          </a:extLst>
        </xdr:cNvPr>
        <xdr:cNvCxnSpPr/>
      </xdr:nvCxnSpPr>
      <xdr:spPr>
        <a:xfrm>
          <a:off x="7702273" y="1936399"/>
          <a:ext cx="167391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221934</xdr:colOff>
      <xdr:row>8</xdr:row>
      <xdr:rowOff>159172</xdr:rowOff>
    </xdr:from>
    <xdr:to>
      <xdr:col>28</xdr:col>
      <xdr:colOff>36112</xdr:colOff>
      <xdr:row>8</xdr:row>
      <xdr:rowOff>159172</xdr:rowOff>
    </xdr:to>
    <xdr:cxnSp macro="">
      <xdr:nvCxnSpPr>
        <xdr:cNvPr id="242" name="直線コネクタ 241">
          <a:extLst>
            <a:ext uri="{FF2B5EF4-FFF2-40B4-BE49-F238E27FC236}">
              <a16:creationId xmlns:a16="http://schemas.microsoft.com/office/drawing/2014/main" id="{2F368926-B830-4DE7-86D8-9D255BBD0525}"/>
            </a:ext>
          </a:extLst>
        </xdr:cNvPr>
        <xdr:cNvCxnSpPr/>
      </xdr:nvCxnSpPr>
      <xdr:spPr>
        <a:xfrm>
          <a:off x="7765734" y="1987972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200544</xdr:colOff>
      <xdr:row>8</xdr:row>
      <xdr:rowOff>35263</xdr:rowOff>
    </xdr:from>
    <xdr:to>
      <xdr:col>28</xdr:col>
      <xdr:colOff>54015</xdr:colOff>
      <xdr:row>8</xdr:row>
      <xdr:rowOff>80424</xdr:rowOff>
    </xdr:to>
    <xdr:sp macro="" textlink="">
      <xdr:nvSpPr>
        <xdr:cNvPr id="243" name="二等辺三角形 242">
          <a:extLst>
            <a:ext uri="{FF2B5EF4-FFF2-40B4-BE49-F238E27FC236}">
              <a16:creationId xmlns:a16="http://schemas.microsoft.com/office/drawing/2014/main" id="{88D53A7B-9AC8-4985-986B-39F69585EB1E}"/>
            </a:ext>
          </a:extLst>
        </xdr:cNvPr>
        <xdr:cNvSpPr/>
      </xdr:nvSpPr>
      <xdr:spPr>
        <a:xfrm rot="10800000">
          <a:off x="7744344" y="1864063"/>
          <a:ext cx="82071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27</xdr:col>
      <xdr:colOff>51267</xdr:colOff>
      <xdr:row>10</xdr:row>
      <xdr:rowOff>177205</xdr:rowOff>
    </xdr:from>
    <xdr:ext cx="224998" cy="387607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0743A1DE-2130-43F5-9695-1C45AB3A3066}"/>
            </a:ext>
          </a:extLst>
        </xdr:cNvPr>
        <xdr:cNvSpPr txBox="1"/>
      </xdr:nvSpPr>
      <xdr:spPr>
        <a:xfrm rot="16200000">
          <a:off x="7513762" y="254451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71079</xdr:colOff>
      <xdr:row>9</xdr:row>
      <xdr:rowOff>95792</xdr:rowOff>
    </xdr:from>
    <xdr:ext cx="224998" cy="444352"/>
    <xdr:sp macro="" textlink="'1.設計条件'!T37">
      <xdr:nvSpPr>
        <xdr:cNvPr id="245" name="テキスト ボックス 244">
          <a:extLst>
            <a:ext uri="{FF2B5EF4-FFF2-40B4-BE49-F238E27FC236}">
              <a16:creationId xmlns:a16="http://schemas.microsoft.com/office/drawing/2014/main" id="{05305605-BBB9-4BF5-AE07-225DFC7CE120}"/>
            </a:ext>
          </a:extLst>
        </xdr:cNvPr>
        <xdr:cNvSpPr txBox="1"/>
      </xdr:nvSpPr>
      <xdr:spPr>
        <a:xfrm rot="16200000">
          <a:off x="7505202" y="226286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190977</xdr:colOff>
      <xdr:row>8</xdr:row>
      <xdr:rowOff>134269</xdr:rowOff>
    </xdr:from>
    <xdr:to>
      <xdr:col>28</xdr:col>
      <xdr:colOff>60624</xdr:colOff>
      <xdr:row>8</xdr:row>
      <xdr:rowOff>134269</xdr:rowOff>
    </xdr:to>
    <xdr:cxnSp macro="">
      <xdr:nvCxnSpPr>
        <xdr:cNvPr id="246" name="直線コネクタ 245">
          <a:extLst>
            <a:ext uri="{FF2B5EF4-FFF2-40B4-BE49-F238E27FC236}">
              <a16:creationId xmlns:a16="http://schemas.microsoft.com/office/drawing/2014/main" id="{A889CFE0-8D1C-4B27-9F0C-8C65E703ABD6}"/>
            </a:ext>
          </a:extLst>
        </xdr:cNvPr>
        <xdr:cNvCxnSpPr/>
      </xdr:nvCxnSpPr>
      <xdr:spPr>
        <a:xfrm>
          <a:off x="7734777" y="1963069"/>
          <a:ext cx="9824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220014</xdr:colOff>
      <xdr:row>14</xdr:row>
      <xdr:rowOff>28999</xdr:rowOff>
    </xdr:from>
    <xdr:to>
      <xdr:col>27</xdr:col>
      <xdr:colOff>155620</xdr:colOff>
      <xdr:row>14</xdr:row>
      <xdr:rowOff>28999</xdr:rowOff>
    </xdr:to>
    <xdr:cxnSp macro="">
      <xdr:nvCxnSpPr>
        <xdr:cNvPr id="249" name="直線コネクタ 248">
          <a:extLst>
            <a:ext uri="{FF2B5EF4-FFF2-40B4-BE49-F238E27FC236}">
              <a16:creationId xmlns:a16="http://schemas.microsoft.com/office/drawing/2014/main" id="{76F13A54-80A0-D727-B9F5-970E3019D9BA}"/>
            </a:ext>
          </a:extLst>
        </xdr:cNvPr>
        <xdr:cNvCxnSpPr/>
      </xdr:nvCxnSpPr>
      <xdr:spPr>
        <a:xfrm>
          <a:off x="7373155" y="3259450"/>
          <a:ext cx="39709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31472</xdr:colOff>
      <xdr:row>8</xdr:row>
      <xdr:rowOff>68631</xdr:rowOff>
    </xdr:from>
    <xdr:to>
      <xdr:col>62</xdr:col>
      <xdr:colOff>31472</xdr:colOff>
      <xdr:row>14</xdr:row>
      <xdr:rowOff>29031</xdr:rowOff>
    </xdr:to>
    <xdr:cxnSp macro="">
      <xdr:nvCxnSpPr>
        <xdr:cNvPr id="252" name="直線コネクタ 251">
          <a:extLst>
            <a:ext uri="{FF2B5EF4-FFF2-40B4-BE49-F238E27FC236}">
              <a16:creationId xmlns:a16="http://schemas.microsoft.com/office/drawing/2014/main" id="{DEF48CB2-8E40-1C0D-5179-41D163224103}"/>
            </a:ext>
          </a:extLst>
        </xdr:cNvPr>
        <xdr:cNvCxnSpPr/>
      </xdr:nvCxnSpPr>
      <xdr:spPr>
        <a:xfrm>
          <a:off x="15576272" y="1897431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59055</xdr:colOff>
      <xdr:row>8</xdr:row>
      <xdr:rowOff>67422</xdr:rowOff>
    </xdr:from>
    <xdr:to>
      <xdr:col>63</xdr:col>
      <xdr:colOff>107142</xdr:colOff>
      <xdr:row>8</xdr:row>
      <xdr:rowOff>67422</xdr:rowOff>
    </xdr:to>
    <xdr:cxnSp macro="">
      <xdr:nvCxnSpPr>
        <xdr:cNvPr id="253" name="直線コネクタ 252">
          <a:extLst>
            <a:ext uri="{FF2B5EF4-FFF2-40B4-BE49-F238E27FC236}">
              <a16:creationId xmlns:a16="http://schemas.microsoft.com/office/drawing/2014/main" id="{DF40C945-9E2E-60B7-3437-44C9AA3CDC84}"/>
            </a:ext>
          </a:extLst>
        </xdr:cNvPr>
        <xdr:cNvCxnSpPr/>
      </xdr:nvCxnSpPr>
      <xdr:spPr>
        <a:xfrm>
          <a:off x="14689455" y="1896222"/>
          <a:ext cx="119108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124183</xdr:colOff>
      <xdr:row>8</xdr:row>
      <xdr:rowOff>94264</xdr:rowOff>
    </xdr:from>
    <xdr:to>
      <xdr:col>63</xdr:col>
      <xdr:colOff>62974</xdr:colOff>
      <xdr:row>8</xdr:row>
      <xdr:rowOff>94264</xdr:rowOff>
    </xdr:to>
    <xdr:cxnSp macro="">
      <xdr:nvCxnSpPr>
        <xdr:cNvPr id="254" name="直線コネクタ 253">
          <a:extLst>
            <a:ext uri="{FF2B5EF4-FFF2-40B4-BE49-F238E27FC236}">
              <a16:creationId xmlns:a16="http://schemas.microsoft.com/office/drawing/2014/main" id="{2958F261-0A43-B63E-3B4F-A93AA89001F2}"/>
            </a:ext>
          </a:extLst>
        </xdr:cNvPr>
        <xdr:cNvCxnSpPr/>
      </xdr:nvCxnSpPr>
      <xdr:spPr>
        <a:xfrm>
          <a:off x="15668983" y="1923064"/>
          <a:ext cx="167391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187644</xdr:colOff>
      <xdr:row>8</xdr:row>
      <xdr:rowOff>145837</xdr:rowOff>
    </xdr:from>
    <xdr:to>
      <xdr:col>63</xdr:col>
      <xdr:colOff>1822</xdr:colOff>
      <xdr:row>8</xdr:row>
      <xdr:rowOff>145837</xdr:rowOff>
    </xdr:to>
    <xdr:cxnSp macro="">
      <xdr:nvCxnSpPr>
        <xdr:cNvPr id="255" name="直線コネクタ 254">
          <a:extLst>
            <a:ext uri="{FF2B5EF4-FFF2-40B4-BE49-F238E27FC236}">
              <a16:creationId xmlns:a16="http://schemas.microsoft.com/office/drawing/2014/main" id="{34572197-C216-15B3-6D83-F9E393EBE398}"/>
            </a:ext>
          </a:extLst>
        </xdr:cNvPr>
        <xdr:cNvCxnSpPr/>
      </xdr:nvCxnSpPr>
      <xdr:spPr>
        <a:xfrm>
          <a:off x="15732444" y="1974637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166254</xdr:colOff>
      <xdr:row>8</xdr:row>
      <xdr:rowOff>21928</xdr:rowOff>
    </xdr:from>
    <xdr:to>
      <xdr:col>63</xdr:col>
      <xdr:colOff>19725</xdr:colOff>
      <xdr:row>8</xdr:row>
      <xdr:rowOff>67089</xdr:rowOff>
    </xdr:to>
    <xdr:sp macro="" textlink="">
      <xdr:nvSpPr>
        <xdr:cNvPr id="256" name="二等辺三角形 255">
          <a:extLst>
            <a:ext uri="{FF2B5EF4-FFF2-40B4-BE49-F238E27FC236}">
              <a16:creationId xmlns:a16="http://schemas.microsoft.com/office/drawing/2014/main" id="{FB5AD7F2-F9BC-D09F-53FB-83BCC29F54A2}"/>
            </a:ext>
          </a:extLst>
        </xdr:cNvPr>
        <xdr:cNvSpPr/>
      </xdr:nvSpPr>
      <xdr:spPr>
        <a:xfrm rot="10800000">
          <a:off x="15711054" y="1850728"/>
          <a:ext cx="82071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62</xdr:col>
      <xdr:colOff>16977</xdr:colOff>
      <xdr:row>10</xdr:row>
      <xdr:rowOff>163870</xdr:rowOff>
    </xdr:from>
    <xdr:ext cx="224998" cy="387607"/>
    <xdr:sp macro="" textlink="">
      <xdr:nvSpPr>
        <xdr:cNvPr id="257" name="テキスト ボックス 256">
          <a:extLst>
            <a:ext uri="{FF2B5EF4-FFF2-40B4-BE49-F238E27FC236}">
              <a16:creationId xmlns:a16="http://schemas.microsoft.com/office/drawing/2014/main" id="{F0016F16-AA14-98F6-47C8-AD02B32D33D6}"/>
            </a:ext>
          </a:extLst>
        </xdr:cNvPr>
        <xdr:cNvSpPr txBox="1"/>
      </xdr:nvSpPr>
      <xdr:spPr>
        <a:xfrm rot="16200000">
          <a:off x="15480472" y="2531175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36789</xdr:colOff>
      <xdr:row>9</xdr:row>
      <xdr:rowOff>82457</xdr:rowOff>
    </xdr:from>
    <xdr:ext cx="224998" cy="444352"/>
    <xdr:sp macro="" textlink="'1.設計条件'!T37">
      <xdr:nvSpPr>
        <xdr:cNvPr id="258" name="テキスト ボックス 257">
          <a:extLst>
            <a:ext uri="{FF2B5EF4-FFF2-40B4-BE49-F238E27FC236}">
              <a16:creationId xmlns:a16="http://schemas.microsoft.com/office/drawing/2014/main" id="{8484E175-AD00-43F3-5179-6C9D63F1BB49}"/>
            </a:ext>
          </a:extLst>
        </xdr:cNvPr>
        <xdr:cNvSpPr txBox="1"/>
      </xdr:nvSpPr>
      <xdr:spPr>
        <a:xfrm rot="16200000">
          <a:off x="15471912" y="224953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62</xdr:col>
      <xdr:colOff>156687</xdr:colOff>
      <xdr:row>8</xdr:row>
      <xdr:rowOff>120934</xdr:rowOff>
    </xdr:from>
    <xdr:to>
      <xdr:col>63</xdr:col>
      <xdr:colOff>26334</xdr:colOff>
      <xdr:row>8</xdr:row>
      <xdr:rowOff>120934</xdr:rowOff>
    </xdr:to>
    <xdr:cxnSp macro="">
      <xdr:nvCxnSpPr>
        <xdr:cNvPr id="259" name="直線コネクタ 258">
          <a:extLst>
            <a:ext uri="{FF2B5EF4-FFF2-40B4-BE49-F238E27FC236}">
              <a16:creationId xmlns:a16="http://schemas.microsoft.com/office/drawing/2014/main" id="{3304F15A-8EB5-380C-D186-455BD884111B}"/>
            </a:ext>
          </a:extLst>
        </xdr:cNvPr>
        <xdr:cNvCxnSpPr/>
      </xdr:nvCxnSpPr>
      <xdr:spPr>
        <a:xfrm>
          <a:off x="15701487" y="1949734"/>
          <a:ext cx="9824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185724</xdr:colOff>
      <xdr:row>14</xdr:row>
      <xdr:rowOff>28999</xdr:rowOff>
    </xdr:from>
    <xdr:to>
      <xdr:col>62</xdr:col>
      <xdr:colOff>121330</xdr:colOff>
      <xdr:row>14</xdr:row>
      <xdr:rowOff>28999</xdr:rowOff>
    </xdr:to>
    <xdr:cxnSp macro="">
      <xdr:nvCxnSpPr>
        <xdr:cNvPr id="260" name="直線コネクタ 259">
          <a:extLst>
            <a:ext uri="{FF2B5EF4-FFF2-40B4-BE49-F238E27FC236}">
              <a16:creationId xmlns:a16="http://schemas.microsoft.com/office/drawing/2014/main" id="{5486B75B-D0CB-6466-3CE8-174EE8DEC087}"/>
            </a:ext>
          </a:extLst>
        </xdr:cNvPr>
        <xdr:cNvCxnSpPr/>
      </xdr:nvCxnSpPr>
      <xdr:spPr>
        <a:xfrm>
          <a:off x="15273324" y="3229399"/>
          <a:ext cx="3928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53883</xdr:colOff>
      <xdr:row>8</xdr:row>
      <xdr:rowOff>74346</xdr:rowOff>
    </xdr:from>
    <xdr:to>
      <xdr:col>97</xdr:col>
      <xdr:colOff>53883</xdr:colOff>
      <xdr:row>14</xdr:row>
      <xdr:rowOff>30700</xdr:rowOff>
    </xdr:to>
    <xdr:cxnSp macro="">
      <xdr:nvCxnSpPr>
        <xdr:cNvPr id="261" name="直線コネクタ 260">
          <a:extLst>
            <a:ext uri="{FF2B5EF4-FFF2-40B4-BE49-F238E27FC236}">
              <a16:creationId xmlns:a16="http://schemas.microsoft.com/office/drawing/2014/main" id="{8FBD0C68-629E-A5E3-827A-9C9CBE4A458F}"/>
            </a:ext>
          </a:extLst>
        </xdr:cNvPr>
        <xdr:cNvCxnSpPr/>
      </xdr:nvCxnSpPr>
      <xdr:spPr>
        <a:xfrm>
          <a:off x="23599683" y="1903146"/>
          <a:ext cx="0" cy="1327954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93</xdr:col>
      <xdr:colOff>81466</xdr:colOff>
      <xdr:row>8</xdr:row>
      <xdr:rowOff>73137</xdr:rowOff>
    </xdr:from>
    <xdr:to>
      <xdr:col>98</xdr:col>
      <xdr:colOff>129554</xdr:colOff>
      <xdr:row>8</xdr:row>
      <xdr:rowOff>73137</xdr:rowOff>
    </xdr:to>
    <xdr:cxnSp macro="">
      <xdr:nvCxnSpPr>
        <xdr:cNvPr id="262" name="直線コネクタ 261">
          <a:extLst>
            <a:ext uri="{FF2B5EF4-FFF2-40B4-BE49-F238E27FC236}">
              <a16:creationId xmlns:a16="http://schemas.microsoft.com/office/drawing/2014/main" id="{777FCA71-8F1B-3BD6-F84A-D25B2120726A}"/>
            </a:ext>
          </a:extLst>
        </xdr:cNvPr>
        <xdr:cNvCxnSpPr/>
      </xdr:nvCxnSpPr>
      <xdr:spPr>
        <a:xfrm>
          <a:off x="22712866" y="1901937"/>
          <a:ext cx="119108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146594</xdr:colOff>
      <xdr:row>8</xdr:row>
      <xdr:rowOff>99979</xdr:rowOff>
    </xdr:from>
    <xdr:to>
      <xdr:col>98</xdr:col>
      <xdr:colOff>85386</xdr:colOff>
      <xdr:row>8</xdr:row>
      <xdr:rowOff>99979</xdr:rowOff>
    </xdr:to>
    <xdr:cxnSp macro="">
      <xdr:nvCxnSpPr>
        <xdr:cNvPr id="263" name="直線コネクタ 262">
          <a:extLst>
            <a:ext uri="{FF2B5EF4-FFF2-40B4-BE49-F238E27FC236}">
              <a16:creationId xmlns:a16="http://schemas.microsoft.com/office/drawing/2014/main" id="{AD68E589-D870-403D-4AC6-56739E27FD0E}"/>
            </a:ext>
          </a:extLst>
        </xdr:cNvPr>
        <xdr:cNvCxnSpPr/>
      </xdr:nvCxnSpPr>
      <xdr:spPr>
        <a:xfrm>
          <a:off x="23692394" y="1928779"/>
          <a:ext cx="16739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210055</xdr:colOff>
      <xdr:row>8</xdr:row>
      <xdr:rowOff>151552</xdr:rowOff>
    </xdr:from>
    <xdr:to>
      <xdr:col>98</xdr:col>
      <xdr:colOff>24234</xdr:colOff>
      <xdr:row>8</xdr:row>
      <xdr:rowOff>151552</xdr:rowOff>
    </xdr:to>
    <xdr:cxnSp macro="">
      <xdr:nvCxnSpPr>
        <xdr:cNvPr id="264" name="直線コネクタ 263">
          <a:extLst>
            <a:ext uri="{FF2B5EF4-FFF2-40B4-BE49-F238E27FC236}">
              <a16:creationId xmlns:a16="http://schemas.microsoft.com/office/drawing/2014/main" id="{0C79D98E-151C-D5D7-210D-91FF1BE1F351}"/>
            </a:ext>
          </a:extLst>
        </xdr:cNvPr>
        <xdr:cNvCxnSpPr/>
      </xdr:nvCxnSpPr>
      <xdr:spPr>
        <a:xfrm>
          <a:off x="23755855" y="1980352"/>
          <a:ext cx="4277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188665</xdr:colOff>
      <xdr:row>8</xdr:row>
      <xdr:rowOff>27643</xdr:rowOff>
    </xdr:from>
    <xdr:to>
      <xdr:col>98</xdr:col>
      <xdr:colOff>42137</xdr:colOff>
      <xdr:row>8</xdr:row>
      <xdr:rowOff>72804</xdr:rowOff>
    </xdr:to>
    <xdr:sp macro="" textlink="">
      <xdr:nvSpPr>
        <xdr:cNvPr id="265" name="二等辺三角形 264">
          <a:extLst>
            <a:ext uri="{FF2B5EF4-FFF2-40B4-BE49-F238E27FC236}">
              <a16:creationId xmlns:a16="http://schemas.microsoft.com/office/drawing/2014/main" id="{FC695CDA-568C-0A0F-A32D-3052F417381E}"/>
            </a:ext>
          </a:extLst>
        </xdr:cNvPr>
        <xdr:cNvSpPr/>
      </xdr:nvSpPr>
      <xdr:spPr>
        <a:xfrm rot="10800000">
          <a:off x="23734465" y="1856443"/>
          <a:ext cx="8207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97</xdr:col>
      <xdr:colOff>39388</xdr:colOff>
      <xdr:row>10</xdr:row>
      <xdr:rowOff>169585</xdr:rowOff>
    </xdr:from>
    <xdr:ext cx="224998" cy="387607"/>
    <xdr:sp macro="" textlink="">
      <xdr:nvSpPr>
        <xdr:cNvPr id="266" name="テキスト ボックス 265">
          <a:extLst>
            <a:ext uri="{FF2B5EF4-FFF2-40B4-BE49-F238E27FC236}">
              <a16:creationId xmlns:a16="http://schemas.microsoft.com/office/drawing/2014/main" id="{25F96F84-9679-C81D-FA9B-E794B3398E0B}"/>
            </a:ext>
          </a:extLst>
        </xdr:cNvPr>
        <xdr:cNvSpPr txBox="1"/>
      </xdr:nvSpPr>
      <xdr:spPr>
        <a:xfrm rot="16200000">
          <a:off x="23503883" y="253689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97</xdr:col>
      <xdr:colOff>59200</xdr:colOff>
      <xdr:row>9</xdr:row>
      <xdr:rowOff>88172</xdr:rowOff>
    </xdr:from>
    <xdr:ext cx="224998" cy="444352"/>
    <xdr:sp macro="" textlink="'1.設計条件'!T37">
      <xdr:nvSpPr>
        <xdr:cNvPr id="267" name="テキスト ボックス 266">
          <a:extLst>
            <a:ext uri="{FF2B5EF4-FFF2-40B4-BE49-F238E27FC236}">
              <a16:creationId xmlns:a16="http://schemas.microsoft.com/office/drawing/2014/main" id="{06F9A232-2118-1563-45CC-9A446897D1ED}"/>
            </a:ext>
          </a:extLst>
        </xdr:cNvPr>
        <xdr:cNvSpPr txBox="1"/>
      </xdr:nvSpPr>
      <xdr:spPr>
        <a:xfrm rot="16200000">
          <a:off x="23495323" y="22552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179098</xdr:colOff>
      <xdr:row>8</xdr:row>
      <xdr:rowOff>126649</xdr:rowOff>
    </xdr:from>
    <xdr:to>
      <xdr:col>98</xdr:col>
      <xdr:colOff>48746</xdr:colOff>
      <xdr:row>8</xdr:row>
      <xdr:rowOff>126649</xdr:rowOff>
    </xdr:to>
    <xdr:cxnSp macro="">
      <xdr:nvCxnSpPr>
        <xdr:cNvPr id="268" name="直線コネクタ 267">
          <a:extLst>
            <a:ext uri="{FF2B5EF4-FFF2-40B4-BE49-F238E27FC236}">
              <a16:creationId xmlns:a16="http://schemas.microsoft.com/office/drawing/2014/main" id="{A45776AF-75E1-0752-B8BE-CF4CE78C0BC3}"/>
            </a:ext>
          </a:extLst>
        </xdr:cNvPr>
        <xdr:cNvCxnSpPr/>
      </xdr:nvCxnSpPr>
      <xdr:spPr>
        <a:xfrm>
          <a:off x="23724898" y="1955449"/>
          <a:ext cx="9824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208136</xdr:colOff>
      <xdr:row>14</xdr:row>
      <xdr:rowOff>28999</xdr:rowOff>
    </xdr:from>
    <xdr:to>
      <xdr:col>97</xdr:col>
      <xdr:colOff>143741</xdr:colOff>
      <xdr:row>14</xdr:row>
      <xdr:rowOff>28999</xdr:rowOff>
    </xdr:to>
    <xdr:cxnSp macro="">
      <xdr:nvCxnSpPr>
        <xdr:cNvPr id="269" name="直線コネクタ 268">
          <a:extLst>
            <a:ext uri="{FF2B5EF4-FFF2-40B4-BE49-F238E27FC236}">
              <a16:creationId xmlns:a16="http://schemas.microsoft.com/office/drawing/2014/main" id="{2E653C43-5795-0E2E-E547-C11E8F17DBE6}"/>
            </a:ext>
          </a:extLst>
        </xdr:cNvPr>
        <xdr:cNvCxnSpPr/>
      </xdr:nvCxnSpPr>
      <xdr:spPr>
        <a:xfrm>
          <a:off x="22844018" y="3166646"/>
          <a:ext cx="38384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132</xdr:col>
      <xdr:colOff>42678</xdr:colOff>
      <xdr:row>8</xdr:row>
      <xdr:rowOff>68631</xdr:rowOff>
    </xdr:from>
    <xdr:to>
      <xdr:col>132</xdr:col>
      <xdr:colOff>42678</xdr:colOff>
      <xdr:row>14</xdr:row>
      <xdr:rowOff>29031</xdr:rowOff>
    </xdr:to>
    <xdr:cxnSp macro="">
      <xdr:nvCxnSpPr>
        <xdr:cNvPr id="270" name="直線コネクタ 269">
          <a:extLst>
            <a:ext uri="{FF2B5EF4-FFF2-40B4-BE49-F238E27FC236}">
              <a16:creationId xmlns:a16="http://schemas.microsoft.com/office/drawing/2014/main" id="{948CDF81-5ECC-5E28-C9FE-EBC398FCCE57}"/>
            </a:ext>
          </a:extLst>
        </xdr:cNvPr>
        <xdr:cNvCxnSpPr/>
      </xdr:nvCxnSpPr>
      <xdr:spPr>
        <a:xfrm>
          <a:off x="31589478" y="1897431"/>
          <a:ext cx="0" cy="1332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128</xdr:col>
      <xdr:colOff>70260</xdr:colOff>
      <xdr:row>8</xdr:row>
      <xdr:rowOff>67422</xdr:rowOff>
    </xdr:from>
    <xdr:to>
      <xdr:col>133</xdr:col>
      <xdr:colOff>118348</xdr:colOff>
      <xdr:row>8</xdr:row>
      <xdr:rowOff>67422</xdr:rowOff>
    </xdr:to>
    <xdr:cxnSp macro="">
      <xdr:nvCxnSpPr>
        <xdr:cNvPr id="271" name="直線コネクタ 270">
          <a:extLst>
            <a:ext uri="{FF2B5EF4-FFF2-40B4-BE49-F238E27FC236}">
              <a16:creationId xmlns:a16="http://schemas.microsoft.com/office/drawing/2014/main" id="{560094FF-0FD5-DF61-B9C4-D44D24052AD6}"/>
            </a:ext>
          </a:extLst>
        </xdr:cNvPr>
        <xdr:cNvCxnSpPr/>
      </xdr:nvCxnSpPr>
      <xdr:spPr>
        <a:xfrm>
          <a:off x="30702660" y="1896222"/>
          <a:ext cx="119108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132</xdr:col>
      <xdr:colOff>135389</xdr:colOff>
      <xdr:row>8</xdr:row>
      <xdr:rowOff>94264</xdr:rowOff>
    </xdr:from>
    <xdr:to>
      <xdr:col>133</xdr:col>
      <xdr:colOff>74180</xdr:colOff>
      <xdr:row>8</xdr:row>
      <xdr:rowOff>94264</xdr:rowOff>
    </xdr:to>
    <xdr:cxnSp macro="">
      <xdr:nvCxnSpPr>
        <xdr:cNvPr id="272" name="直線コネクタ 271">
          <a:extLst>
            <a:ext uri="{FF2B5EF4-FFF2-40B4-BE49-F238E27FC236}">
              <a16:creationId xmlns:a16="http://schemas.microsoft.com/office/drawing/2014/main" id="{4B73A5A0-8F82-0967-4B66-BEBC10AE5F54}"/>
            </a:ext>
          </a:extLst>
        </xdr:cNvPr>
        <xdr:cNvCxnSpPr/>
      </xdr:nvCxnSpPr>
      <xdr:spPr>
        <a:xfrm>
          <a:off x="31682189" y="1923064"/>
          <a:ext cx="167391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132</xdr:col>
      <xdr:colOff>198850</xdr:colOff>
      <xdr:row>8</xdr:row>
      <xdr:rowOff>145837</xdr:rowOff>
    </xdr:from>
    <xdr:to>
      <xdr:col>133</xdr:col>
      <xdr:colOff>13028</xdr:colOff>
      <xdr:row>8</xdr:row>
      <xdr:rowOff>145837</xdr:rowOff>
    </xdr:to>
    <xdr:cxnSp macro="">
      <xdr:nvCxnSpPr>
        <xdr:cNvPr id="273" name="直線コネクタ 272">
          <a:extLst>
            <a:ext uri="{FF2B5EF4-FFF2-40B4-BE49-F238E27FC236}">
              <a16:creationId xmlns:a16="http://schemas.microsoft.com/office/drawing/2014/main" id="{191803CE-1362-D24B-91C6-285DF5D3AC6A}"/>
            </a:ext>
          </a:extLst>
        </xdr:cNvPr>
        <xdr:cNvCxnSpPr/>
      </xdr:nvCxnSpPr>
      <xdr:spPr>
        <a:xfrm>
          <a:off x="31745650" y="1974637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132</xdr:col>
      <xdr:colOff>177460</xdr:colOff>
      <xdr:row>8</xdr:row>
      <xdr:rowOff>21928</xdr:rowOff>
    </xdr:from>
    <xdr:to>
      <xdr:col>133</xdr:col>
      <xdr:colOff>30931</xdr:colOff>
      <xdr:row>8</xdr:row>
      <xdr:rowOff>67089</xdr:rowOff>
    </xdr:to>
    <xdr:sp macro="" textlink="">
      <xdr:nvSpPr>
        <xdr:cNvPr id="274" name="二等辺三角形 273">
          <a:extLst>
            <a:ext uri="{FF2B5EF4-FFF2-40B4-BE49-F238E27FC236}">
              <a16:creationId xmlns:a16="http://schemas.microsoft.com/office/drawing/2014/main" id="{09FF5A8D-6EA3-11BB-EA0A-525B75D182EF}"/>
            </a:ext>
          </a:extLst>
        </xdr:cNvPr>
        <xdr:cNvSpPr/>
      </xdr:nvSpPr>
      <xdr:spPr>
        <a:xfrm rot="10800000">
          <a:off x="31724260" y="1850728"/>
          <a:ext cx="82071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132</xdr:col>
      <xdr:colOff>28183</xdr:colOff>
      <xdr:row>10</xdr:row>
      <xdr:rowOff>163870</xdr:rowOff>
    </xdr:from>
    <xdr:ext cx="224998" cy="387607"/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513A14B1-815D-4D30-59C2-BCC288B29B60}"/>
            </a:ext>
          </a:extLst>
        </xdr:cNvPr>
        <xdr:cNvSpPr txBox="1"/>
      </xdr:nvSpPr>
      <xdr:spPr>
        <a:xfrm rot="16200000">
          <a:off x="31493678" y="2531175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132</xdr:col>
      <xdr:colOff>47995</xdr:colOff>
      <xdr:row>9</xdr:row>
      <xdr:rowOff>82457</xdr:rowOff>
    </xdr:from>
    <xdr:ext cx="224998" cy="444352"/>
    <xdr:sp macro="" textlink="'1.設計条件'!T37">
      <xdr:nvSpPr>
        <xdr:cNvPr id="276" name="テキスト ボックス 275">
          <a:extLst>
            <a:ext uri="{FF2B5EF4-FFF2-40B4-BE49-F238E27FC236}">
              <a16:creationId xmlns:a16="http://schemas.microsoft.com/office/drawing/2014/main" id="{F3D7CFF7-ED1D-2BEA-CD52-EB22FB0705CB}"/>
            </a:ext>
          </a:extLst>
        </xdr:cNvPr>
        <xdr:cNvSpPr txBox="1"/>
      </xdr:nvSpPr>
      <xdr:spPr>
        <a:xfrm rot="16200000">
          <a:off x="31485118" y="224953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132</xdr:col>
      <xdr:colOff>167893</xdr:colOff>
      <xdr:row>8</xdr:row>
      <xdr:rowOff>120934</xdr:rowOff>
    </xdr:from>
    <xdr:to>
      <xdr:col>133</xdr:col>
      <xdr:colOff>37540</xdr:colOff>
      <xdr:row>8</xdr:row>
      <xdr:rowOff>120934</xdr:rowOff>
    </xdr:to>
    <xdr:cxnSp macro="">
      <xdr:nvCxnSpPr>
        <xdr:cNvPr id="277" name="直線コネクタ 276">
          <a:extLst>
            <a:ext uri="{FF2B5EF4-FFF2-40B4-BE49-F238E27FC236}">
              <a16:creationId xmlns:a16="http://schemas.microsoft.com/office/drawing/2014/main" id="{4520B6C1-A127-0293-3874-4E818107A8F1}"/>
            </a:ext>
          </a:extLst>
        </xdr:cNvPr>
        <xdr:cNvCxnSpPr/>
      </xdr:nvCxnSpPr>
      <xdr:spPr>
        <a:xfrm>
          <a:off x="31714693" y="1949734"/>
          <a:ext cx="9824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130</xdr:col>
      <xdr:colOff>196930</xdr:colOff>
      <xdr:row>14</xdr:row>
      <xdr:rowOff>28999</xdr:rowOff>
    </xdr:from>
    <xdr:to>
      <xdr:col>132</xdr:col>
      <xdr:colOff>132536</xdr:colOff>
      <xdr:row>14</xdr:row>
      <xdr:rowOff>28999</xdr:rowOff>
    </xdr:to>
    <xdr:cxnSp macro="">
      <xdr:nvCxnSpPr>
        <xdr:cNvPr id="278" name="直線コネクタ 277">
          <a:extLst>
            <a:ext uri="{FF2B5EF4-FFF2-40B4-BE49-F238E27FC236}">
              <a16:creationId xmlns:a16="http://schemas.microsoft.com/office/drawing/2014/main" id="{71C03E2B-54AB-EF23-E678-7026126732D3}"/>
            </a:ext>
          </a:extLst>
        </xdr:cNvPr>
        <xdr:cNvCxnSpPr/>
      </xdr:nvCxnSpPr>
      <xdr:spPr>
        <a:xfrm>
          <a:off x="30676930" y="3166646"/>
          <a:ext cx="38384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54286</xdr:colOff>
      <xdr:row>8</xdr:row>
      <xdr:rowOff>68631</xdr:rowOff>
    </xdr:from>
    <xdr:to>
      <xdr:col>167</xdr:col>
      <xdr:colOff>54286</xdr:colOff>
      <xdr:row>14</xdr:row>
      <xdr:rowOff>29031</xdr:rowOff>
    </xdr:to>
    <xdr:cxnSp macro="">
      <xdr:nvCxnSpPr>
        <xdr:cNvPr id="279" name="直線コネクタ 278">
          <a:extLst>
            <a:ext uri="{FF2B5EF4-FFF2-40B4-BE49-F238E27FC236}">
              <a16:creationId xmlns:a16="http://schemas.microsoft.com/office/drawing/2014/main" id="{675069A5-4338-9C07-B052-9B50074970C8}"/>
            </a:ext>
          </a:extLst>
        </xdr:cNvPr>
        <xdr:cNvCxnSpPr/>
      </xdr:nvCxnSpPr>
      <xdr:spPr>
        <a:xfrm>
          <a:off x="38684965" y="1919202"/>
          <a:ext cx="0" cy="134832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163</xdr:col>
      <xdr:colOff>81869</xdr:colOff>
      <xdr:row>8</xdr:row>
      <xdr:rowOff>67422</xdr:rowOff>
    </xdr:from>
    <xdr:to>
      <xdr:col>168</xdr:col>
      <xdr:colOff>129956</xdr:colOff>
      <xdr:row>8</xdr:row>
      <xdr:rowOff>67422</xdr:rowOff>
    </xdr:to>
    <xdr:cxnSp macro="">
      <xdr:nvCxnSpPr>
        <xdr:cNvPr id="280" name="直線コネクタ 279">
          <a:extLst>
            <a:ext uri="{FF2B5EF4-FFF2-40B4-BE49-F238E27FC236}">
              <a16:creationId xmlns:a16="http://schemas.microsoft.com/office/drawing/2014/main" id="{E82D266B-6B84-8FDD-5891-2A70F00C6681}"/>
            </a:ext>
          </a:extLst>
        </xdr:cNvPr>
        <xdr:cNvCxnSpPr/>
      </xdr:nvCxnSpPr>
      <xdr:spPr>
        <a:xfrm>
          <a:off x="37787262" y="1917993"/>
          <a:ext cx="120469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146997</xdr:colOff>
      <xdr:row>8</xdr:row>
      <xdr:rowOff>94264</xdr:rowOff>
    </xdr:from>
    <xdr:to>
      <xdr:col>168</xdr:col>
      <xdr:colOff>85788</xdr:colOff>
      <xdr:row>8</xdr:row>
      <xdr:rowOff>94264</xdr:rowOff>
    </xdr:to>
    <xdr:cxnSp macro="">
      <xdr:nvCxnSpPr>
        <xdr:cNvPr id="281" name="直線コネクタ 280">
          <a:extLst>
            <a:ext uri="{FF2B5EF4-FFF2-40B4-BE49-F238E27FC236}">
              <a16:creationId xmlns:a16="http://schemas.microsoft.com/office/drawing/2014/main" id="{8AD01937-684E-F460-94D9-A592B49AECC7}"/>
            </a:ext>
          </a:extLst>
        </xdr:cNvPr>
        <xdr:cNvCxnSpPr/>
      </xdr:nvCxnSpPr>
      <xdr:spPr>
        <a:xfrm>
          <a:off x="38777676" y="1944835"/>
          <a:ext cx="17011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210458</xdr:colOff>
      <xdr:row>8</xdr:row>
      <xdr:rowOff>145837</xdr:rowOff>
    </xdr:from>
    <xdr:to>
      <xdr:col>168</xdr:col>
      <xdr:colOff>17433</xdr:colOff>
      <xdr:row>8</xdr:row>
      <xdr:rowOff>145837</xdr:rowOff>
    </xdr:to>
    <xdr:cxnSp macro="">
      <xdr:nvCxnSpPr>
        <xdr:cNvPr id="282" name="直線コネクタ 281">
          <a:extLst>
            <a:ext uri="{FF2B5EF4-FFF2-40B4-BE49-F238E27FC236}">
              <a16:creationId xmlns:a16="http://schemas.microsoft.com/office/drawing/2014/main" id="{044A5716-774F-ED29-7CBE-28C0E1575490}"/>
            </a:ext>
          </a:extLst>
        </xdr:cNvPr>
        <xdr:cNvCxnSpPr/>
      </xdr:nvCxnSpPr>
      <xdr:spPr>
        <a:xfrm>
          <a:off x="38841137" y="1996408"/>
          <a:ext cx="38296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189068</xdr:colOff>
      <xdr:row>8</xdr:row>
      <xdr:rowOff>21928</xdr:rowOff>
    </xdr:from>
    <xdr:to>
      <xdr:col>168</xdr:col>
      <xdr:colOff>42539</xdr:colOff>
      <xdr:row>8</xdr:row>
      <xdr:rowOff>67089</xdr:rowOff>
    </xdr:to>
    <xdr:sp macro="" textlink="">
      <xdr:nvSpPr>
        <xdr:cNvPr id="283" name="二等辺三角形 282">
          <a:extLst>
            <a:ext uri="{FF2B5EF4-FFF2-40B4-BE49-F238E27FC236}">
              <a16:creationId xmlns:a16="http://schemas.microsoft.com/office/drawing/2014/main" id="{62EA2BFF-0890-34FF-4C33-4D30A3584C92}"/>
            </a:ext>
          </a:extLst>
        </xdr:cNvPr>
        <xdr:cNvSpPr/>
      </xdr:nvSpPr>
      <xdr:spPr>
        <a:xfrm rot="10800000">
          <a:off x="38819747" y="1872499"/>
          <a:ext cx="8479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167</xdr:col>
      <xdr:colOff>39791</xdr:colOff>
      <xdr:row>10</xdr:row>
      <xdr:rowOff>163870</xdr:rowOff>
    </xdr:from>
    <xdr:ext cx="224998" cy="387607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561BA42B-9E38-0198-1FE1-7D595640337E}"/>
            </a:ext>
          </a:extLst>
        </xdr:cNvPr>
        <xdr:cNvSpPr txBox="1"/>
      </xdr:nvSpPr>
      <xdr:spPr>
        <a:xfrm rot="16200000">
          <a:off x="38589165" y="255838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167</xdr:col>
      <xdr:colOff>59603</xdr:colOff>
      <xdr:row>9</xdr:row>
      <xdr:rowOff>82457</xdr:rowOff>
    </xdr:from>
    <xdr:ext cx="224998" cy="444352"/>
    <xdr:sp macro="" textlink="'1.設計条件'!T37">
      <xdr:nvSpPr>
        <xdr:cNvPr id="285" name="テキスト ボックス 284">
          <a:extLst>
            <a:ext uri="{FF2B5EF4-FFF2-40B4-BE49-F238E27FC236}">
              <a16:creationId xmlns:a16="http://schemas.microsoft.com/office/drawing/2014/main" id="{43CBF6EC-1D01-EEA4-41D5-5F5CEC4FF930}"/>
            </a:ext>
          </a:extLst>
        </xdr:cNvPr>
        <xdr:cNvSpPr txBox="1"/>
      </xdr:nvSpPr>
      <xdr:spPr>
        <a:xfrm rot="16200000">
          <a:off x="38580605" y="22740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167</xdr:col>
      <xdr:colOff>179501</xdr:colOff>
      <xdr:row>8</xdr:row>
      <xdr:rowOff>120934</xdr:rowOff>
    </xdr:from>
    <xdr:to>
      <xdr:col>168</xdr:col>
      <xdr:colOff>49148</xdr:colOff>
      <xdr:row>8</xdr:row>
      <xdr:rowOff>120934</xdr:rowOff>
    </xdr:to>
    <xdr:cxnSp macro="">
      <xdr:nvCxnSpPr>
        <xdr:cNvPr id="286" name="直線コネクタ 285">
          <a:extLst>
            <a:ext uri="{FF2B5EF4-FFF2-40B4-BE49-F238E27FC236}">
              <a16:creationId xmlns:a16="http://schemas.microsoft.com/office/drawing/2014/main" id="{FAEC8DB0-ABDE-0875-979A-30B400049029}"/>
            </a:ext>
          </a:extLst>
        </xdr:cNvPr>
        <xdr:cNvCxnSpPr/>
      </xdr:nvCxnSpPr>
      <xdr:spPr>
        <a:xfrm>
          <a:off x="38810180" y="1971505"/>
          <a:ext cx="10096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165</xdr:col>
      <xdr:colOff>208538</xdr:colOff>
      <xdr:row>14</xdr:row>
      <xdr:rowOff>28999</xdr:rowOff>
    </xdr:from>
    <xdr:to>
      <xdr:col>167</xdr:col>
      <xdr:colOff>144144</xdr:colOff>
      <xdr:row>14</xdr:row>
      <xdr:rowOff>28999</xdr:rowOff>
    </xdr:to>
    <xdr:cxnSp macro="">
      <xdr:nvCxnSpPr>
        <xdr:cNvPr id="287" name="直線コネクタ 286">
          <a:extLst>
            <a:ext uri="{FF2B5EF4-FFF2-40B4-BE49-F238E27FC236}">
              <a16:creationId xmlns:a16="http://schemas.microsoft.com/office/drawing/2014/main" id="{6B1BA118-8E2F-35E8-7432-0BF3C7A313B1}"/>
            </a:ext>
          </a:extLst>
        </xdr:cNvPr>
        <xdr:cNvCxnSpPr/>
      </xdr:nvCxnSpPr>
      <xdr:spPr>
        <a:xfrm>
          <a:off x="38376574" y="3267499"/>
          <a:ext cx="39824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202</xdr:col>
      <xdr:colOff>65090</xdr:colOff>
      <xdr:row>8</xdr:row>
      <xdr:rowOff>74345</xdr:rowOff>
    </xdr:from>
    <xdr:to>
      <xdr:col>202</xdr:col>
      <xdr:colOff>65090</xdr:colOff>
      <xdr:row>14</xdr:row>
      <xdr:rowOff>27711</xdr:rowOff>
    </xdr:to>
    <xdr:cxnSp macro="">
      <xdr:nvCxnSpPr>
        <xdr:cNvPr id="288" name="直線コネクタ 287">
          <a:extLst>
            <a:ext uri="{FF2B5EF4-FFF2-40B4-BE49-F238E27FC236}">
              <a16:creationId xmlns:a16="http://schemas.microsoft.com/office/drawing/2014/main" id="{B4B5C96B-10FF-E5C1-FA70-AB9BD65952D8}"/>
            </a:ext>
          </a:extLst>
        </xdr:cNvPr>
        <xdr:cNvCxnSpPr/>
      </xdr:nvCxnSpPr>
      <xdr:spPr>
        <a:xfrm>
          <a:off x="47613890" y="1903145"/>
          <a:ext cx="0" cy="132496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198</xdr:col>
      <xdr:colOff>115251</xdr:colOff>
      <xdr:row>8</xdr:row>
      <xdr:rowOff>73137</xdr:rowOff>
    </xdr:from>
    <xdr:to>
      <xdr:col>203</xdr:col>
      <xdr:colOff>163339</xdr:colOff>
      <xdr:row>8</xdr:row>
      <xdr:rowOff>73137</xdr:rowOff>
    </xdr:to>
    <xdr:cxnSp macro="">
      <xdr:nvCxnSpPr>
        <xdr:cNvPr id="289" name="直線コネクタ 288">
          <a:extLst>
            <a:ext uri="{FF2B5EF4-FFF2-40B4-BE49-F238E27FC236}">
              <a16:creationId xmlns:a16="http://schemas.microsoft.com/office/drawing/2014/main" id="{438DDAEB-D867-BAEC-2592-5828E27B2965}"/>
            </a:ext>
          </a:extLst>
        </xdr:cNvPr>
        <xdr:cNvCxnSpPr/>
      </xdr:nvCxnSpPr>
      <xdr:spPr>
        <a:xfrm>
          <a:off x="46521051" y="1901937"/>
          <a:ext cx="119108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202</xdr:col>
      <xdr:colOff>157801</xdr:colOff>
      <xdr:row>8</xdr:row>
      <xdr:rowOff>99979</xdr:rowOff>
    </xdr:from>
    <xdr:to>
      <xdr:col>203</xdr:col>
      <xdr:colOff>96593</xdr:colOff>
      <xdr:row>8</xdr:row>
      <xdr:rowOff>99979</xdr:rowOff>
    </xdr:to>
    <xdr:cxnSp macro="">
      <xdr:nvCxnSpPr>
        <xdr:cNvPr id="290" name="直線コネクタ 289">
          <a:extLst>
            <a:ext uri="{FF2B5EF4-FFF2-40B4-BE49-F238E27FC236}">
              <a16:creationId xmlns:a16="http://schemas.microsoft.com/office/drawing/2014/main" id="{7D09619F-27A3-CA1E-C8A7-ECD3D35F7FD1}"/>
            </a:ext>
          </a:extLst>
        </xdr:cNvPr>
        <xdr:cNvCxnSpPr/>
      </xdr:nvCxnSpPr>
      <xdr:spPr>
        <a:xfrm>
          <a:off x="47706601" y="1928779"/>
          <a:ext cx="16739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202</xdr:col>
      <xdr:colOff>221262</xdr:colOff>
      <xdr:row>8</xdr:row>
      <xdr:rowOff>151552</xdr:rowOff>
    </xdr:from>
    <xdr:to>
      <xdr:col>203</xdr:col>
      <xdr:colOff>35441</xdr:colOff>
      <xdr:row>8</xdr:row>
      <xdr:rowOff>151552</xdr:rowOff>
    </xdr:to>
    <xdr:cxnSp macro="">
      <xdr:nvCxnSpPr>
        <xdr:cNvPr id="291" name="直線コネクタ 290">
          <a:extLst>
            <a:ext uri="{FF2B5EF4-FFF2-40B4-BE49-F238E27FC236}">
              <a16:creationId xmlns:a16="http://schemas.microsoft.com/office/drawing/2014/main" id="{155F8255-28E0-BCD5-3C6D-B2E05FAA1C71}"/>
            </a:ext>
          </a:extLst>
        </xdr:cNvPr>
        <xdr:cNvCxnSpPr/>
      </xdr:nvCxnSpPr>
      <xdr:spPr>
        <a:xfrm>
          <a:off x="47770062" y="1980352"/>
          <a:ext cx="4277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202</xdr:col>
      <xdr:colOff>199872</xdr:colOff>
      <xdr:row>8</xdr:row>
      <xdr:rowOff>27643</xdr:rowOff>
    </xdr:from>
    <xdr:to>
      <xdr:col>203</xdr:col>
      <xdr:colOff>53344</xdr:colOff>
      <xdr:row>8</xdr:row>
      <xdr:rowOff>72804</xdr:rowOff>
    </xdr:to>
    <xdr:sp macro="" textlink="">
      <xdr:nvSpPr>
        <xdr:cNvPr id="292" name="二等辺三角形 291">
          <a:extLst>
            <a:ext uri="{FF2B5EF4-FFF2-40B4-BE49-F238E27FC236}">
              <a16:creationId xmlns:a16="http://schemas.microsoft.com/office/drawing/2014/main" id="{8F082310-672D-8205-8719-9B06EE9FE83E}"/>
            </a:ext>
          </a:extLst>
        </xdr:cNvPr>
        <xdr:cNvSpPr/>
      </xdr:nvSpPr>
      <xdr:spPr>
        <a:xfrm rot="10800000">
          <a:off x="47748672" y="1856443"/>
          <a:ext cx="8207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202</xdr:col>
      <xdr:colOff>50595</xdr:colOff>
      <xdr:row>10</xdr:row>
      <xdr:rowOff>169585</xdr:rowOff>
    </xdr:from>
    <xdr:ext cx="224998" cy="387607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C99E04B0-237D-5FD5-266E-268C0BCD24BB}"/>
            </a:ext>
          </a:extLst>
        </xdr:cNvPr>
        <xdr:cNvSpPr txBox="1"/>
      </xdr:nvSpPr>
      <xdr:spPr>
        <a:xfrm rot="16200000">
          <a:off x="47518090" y="253689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202</xdr:col>
      <xdr:colOff>70407</xdr:colOff>
      <xdr:row>9</xdr:row>
      <xdr:rowOff>88172</xdr:rowOff>
    </xdr:from>
    <xdr:ext cx="224998" cy="444352"/>
    <xdr:sp macro="" textlink="'1.設計条件'!T37">
      <xdr:nvSpPr>
        <xdr:cNvPr id="294" name="テキスト ボックス 293">
          <a:extLst>
            <a:ext uri="{FF2B5EF4-FFF2-40B4-BE49-F238E27FC236}">
              <a16:creationId xmlns:a16="http://schemas.microsoft.com/office/drawing/2014/main" id="{0E61800D-FF91-53FA-B822-59471AE1AC07}"/>
            </a:ext>
          </a:extLst>
        </xdr:cNvPr>
        <xdr:cNvSpPr txBox="1"/>
      </xdr:nvSpPr>
      <xdr:spPr>
        <a:xfrm rot="16200000">
          <a:off x="47509530" y="22552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202</xdr:col>
      <xdr:colOff>190305</xdr:colOff>
      <xdr:row>8</xdr:row>
      <xdr:rowOff>126649</xdr:rowOff>
    </xdr:from>
    <xdr:to>
      <xdr:col>203</xdr:col>
      <xdr:colOff>59953</xdr:colOff>
      <xdr:row>8</xdr:row>
      <xdr:rowOff>126649</xdr:rowOff>
    </xdr:to>
    <xdr:cxnSp macro="">
      <xdr:nvCxnSpPr>
        <xdr:cNvPr id="295" name="直線コネクタ 294">
          <a:extLst>
            <a:ext uri="{FF2B5EF4-FFF2-40B4-BE49-F238E27FC236}">
              <a16:creationId xmlns:a16="http://schemas.microsoft.com/office/drawing/2014/main" id="{7F270857-4B5F-4778-2731-988BCF8350A1}"/>
            </a:ext>
          </a:extLst>
        </xdr:cNvPr>
        <xdr:cNvCxnSpPr/>
      </xdr:nvCxnSpPr>
      <xdr:spPr>
        <a:xfrm>
          <a:off x="47739105" y="1955449"/>
          <a:ext cx="9824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200</xdr:col>
      <xdr:colOff>219343</xdr:colOff>
      <xdr:row>14</xdr:row>
      <xdr:rowOff>28999</xdr:rowOff>
    </xdr:from>
    <xdr:to>
      <xdr:col>202</xdr:col>
      <xdr:colOff>154948</xdr:colOff>
      <xdr:row>14</xdr:row>
      <xdr:rowOff>28999</xdr:rowOff>
    </xdr:to>
    <xdr:cxnSp macro="">
      <xdr:nvCxnSpPr>
        <xdr:cNvPr id="296" name="直線コネクタ 295">
          <a:extLst>
            <a:ext uri="{FF2B5EF4-FFF2-40B4-BE49-F238E27FC236}">
              <a16:creationId xmlns:a16="http://schemas.microsoft.com/office/drawing/2014/main" id="{6932E561-4210-4BFC-EA7F-E56D4F04630C}"/>
            </a:ext>
          </a:extLst>
        </xdr:cNvPr>
        <xdr:cNvCxnSpPr/>
      </xdr:nvCxnSpPr>
      <xdr:spPr>
        <a:xfrm>
          <a:off x="46387578" y="3166646"/>
          <a:ext cx="38384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216139</xdr:colOff>
      <xdr:row>4</xdr:row>
      <xdr:rowOff>101564</xdr:rowOff>
    </xdr:from>
    <xdr:ext cx="409788" cy="0"/>
    <xdr:cxnSp macro="">
      <xdr:nvCxnSpPr>
        <xdr:cNvPr id="247" name="直線コネクタ 246">
          <a:extLst>
            <a:ext uri="{FF2B5EF4-FFF2-40B4-BE49-F238E27FC236}">
              <a16:creationId xmlns:a16="http://schemas.microsoft.com/office/drawing/2014/main" id="{4AB37D21-3F4C-4FAD-822F-0FB8BA2CF45D}"/>
            </a:ext>
          </a:extLst>
        </xdr:cNvPr>
        <xdr:cNvCxnSpPr/>
      </xdr:nvCxnSpPr>
      <xdr:spPr>
        <a:xfrm>
          <a:off x="5931139" y="1015964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43612</xdr:colOff>
      <xdr:row>4</xdr:row>
      <xdr:rowOff>101564</xdr:rowOff>
    </xdr:from>
    <xdr:ext cx="581793" cy="2117993"/>
    <xdr:cxnSp macro="">
      <xdr:nvCxnSpPr>
        <xdr:cNvPr id="248" name="直線コネクタ 247">
          <a:extLst>
            <a:ext uri="{FF2B5EF4-FFF2-40B4-BE49-F238E27FC236}">
              <a16:creationId xmlns:a16="http://schemas.microsoft.com/office/drawing/2014/main" id="{694075B7-BCAD-48CC-BA8F-ECE63EAFF52A}"/>
            </a:ext>
          </a:extLst>
        </xdr:cNvPr>
        <xdr:cNvCxnSpPr/>
      </xdr:nvCxnSpPr>
      <xdr:spPr>
        <a:xfrm flipH="1">
          <a:off x="5758612" y="1015964"/>
          <a:ext cx="581793" cy="211799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87726</xdr:colOff>
      <xdr:row>4</xdr:row>
      <xdr:rowOff>101564</xdr:rowOff>
    </xdr:from>
    <xdr:ext cx="581036" cy="2115061"/>
    <xdr:cxnSp macro="">
      <xdr:nvCxnSpPr>
        <xdr:cNvPr id="250" name="直線コネクタ 249">
          <a:extLst>
            <a:ext uri="{FF2B5EF4-FFF2-40B4-BE49-F238E27FC236}">
              <a16:creationId xmlns:a16="http://schemas.microsoft.com/office/drawing/2014/main" id="{15C26C83-57D8-4773-85E1-B3A0BAE0473E}"/>
            </a:ext>
          </a:extLst>
        </xdr:cNvPr>
        <xdr:cNvCxnSpPr/>
      </xdr:nvCxnSpPr>
      <xdr:spPr>
        <a:xfrm flipH="1">
          <a:off x="5345526" y="1015964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56415</xdr:colOff>
      <xdr:row>13</xdr:row>
      <xdr:rowOff>162318</xdr:rowOff>
    </xdr:from>
    <xdr:ext cx="481788" cy="92843"/>
    <xdr:sp macro="" textlink="">
      <xdr:nvSpPr>
        <xdr:cNvPr id="251" name="正方形/長方形 250">
          <a:extLst>
            <a:ext uri="{FF2B5EF4-FFF2-40B4-BE49-F238E27FC236}">
              <a16:creationId xmlns:a16="http://schemas.microsoft.com/office/drawing/2014/main" id="{BAE11805-1AF6-4D26-A7C7-37C16EAA7DF6}"/>
            </a:ext>
          </a:extLst>
        </xdr:cNvPr>
        <xdr:cNvSpPr/>
      </xdr:nvSpPr>
      <xdr:spPr>
        <a:xfrm>
          <a:off x="5314215" y="3134118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181155</xdr:colOff>
      <xdr:row>4</xdr:row>
      <xdr:rowOff>190264</xdr:rowOff>
    </xdr:from>
    <xdr:ext cx="537554" cy="1985741"/>
    <xdr:cxnSp macro="">
      <xdr:nvCxnSpPr>
        <xdr:cNvPr id="297" name="直線コネクタ 296">
          <a:extLst>
            <a:ext uri="{FF2B5EF4-FFF2-40B4-BE49-F238E27FC236}">
              <a16:creationId xmlns:a16="http://schemas.microsoft.com/office/drawing/2014/main" id="{E89B031B-61D4-4362-BE06-3D33AFE1E8C1}"/>
            </a:ext>
          </a:extLst>
        </xdr:cNvPr>
        <xdr:cNvCxnSpPr/>
      </xdr:nvCxnSpPr>
      <xdr:spPr>
        <a:xfrm flipH="1">
          <a:off x="5667555" y="1104664"/>
          <a:ext cx="537554" cy="198574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186681</xdr:colOff>
      <xdr:row>11</xdr:row>
      <xdr:rowOff>218921</xdr:rowOff>
    </xdr:from>
    <xdr:ext cx="312805" cy="0"/>
    <xdr:cxnSp macro="">
      <xdr:nvCxnSpPr>
        <xdr:cNvPr id="298" name="直線コネクタ 297">
          <a:extLst>
            <a:ext uri="{FF2B5EF4-FFF2-40B4-BE49-F238E27FC236}">
              <a16:creationId xmlns:a16="http://schemas.microsoft.com/office/drawing/2014/main" id="{662B17B3-4CE4-4082-8734-34619BC05537}"/>
            </a:ext>
          </a:extLst>
        </xdr:cNvPr>
        <xdr:cNvCxnSpPr/>
      </xdr:nvCxnSpPr>
      <xdr:spPr>
        <a:xfrm>
          <a:off x="5444481" y="2733521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48647</xdr:colOff>
      <xdr:row>10</xdr:row>
      <xdr:rowOff>98907</xdr:rowOff>
    </xdr:from>
    <xdr:ext cx="319700" cy="0"/>
    <xdr:cxnSp macro="">
      <xdr:nvCxnSpPr>
        <xdr:cNvPr id="299" name="直線コネクタ 298">
          <a:extLst>
            <a:ext uri="{FF2B5EF4-FFF2-40B4-BE49-F238E27FC236}">
              <a16:creationId xmlns:a16="http://schemas.microsoft.com/office/drawing/2014/main" id="{B7930ABF-7F7B-4181-B433-73D0DBBD5290}"/>
            </a:ext>
          </a:extLst>
        </xdr:cNvPr>
        <xdr:cNvCxnSpPr/>
      </xdr:nvCxnSpPr>
      <xdr:spPr>
        <a:xfrm>
          <a:off x="5535047" y="2384907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158711</xdr:colOff>
      <xdr:row>8</xdr:row>
      <xdr:rowOff>205043</xdr:rowOff>
    </xdr:from>
    <xdr:ext cx="312806" cy="0"/>
    <xdr:cxnSp macro="">
      <xdr:nvCxnSpPr>
        <xdr:cNvPr id="300" name="直線コネクタ 299">
          <a:extLst>
            <a:ext uri="{FF2B5EF4-FFF2-40B4-BE49-F238E27FC236}">
              <a16:creationId xmlns:a16="http://schemas.microsoft.com/office/drawing/2014/main" id="{811A5952-939C-40D1-9F25-D34DD481FB6E}"/>
            </a:ext>
          </a:extLst>
        </xdr:cNvPr>
        <xdr:cNvCxnSpPr/>
      </xdr:nvCxnSpPr>
      <xdr:spPr>
        <a:xfrm>
          <a:off x="5645111" y="2033843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17655</xdr:colOff>
      <xdr:row>7</xdr:row>
      <xdr:rowOff>74140</xdr:rowOff>
    </xdr:from>
    <xdr:ext cx="310084" cy="0"/>
    <xdr:cxnSp macro="">
      <xdr:nvCxnSpPr>
        <xdr:cNvPr id="301" name="直線コネクタ 300">
          <a:extLst>
            <a:ext uri="{FF2B5EF4-FFF2-40B4-BE49-F238E27FC236}">
              <a16:creationId xmlns:a16="http://schemas.microsoft.com/office/drawing/2014/main" id="{BD73215C-2466-4B85-ACD1-A1E7DA65E75A}"/>
            </a:ext>
          </a:extLst>
        </xdr:cNvPr>
        <xdr:cNvCxnSpPr/>
      </xdr:nvCxnSpPr>
      <xdr:spPr>
        <a:xfrm>
          <a:off x="5732655" y="167434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121681</xdr:colOff>
      <xdr:row>5</xdr:row>
      <xdr:rowOff>160682</xdr:rowOff>
    </xdr:from>
    <xdr:ext cx="312805" cy="0"/>
    <xdr:cxnSp macro="">
      <xdr:nvCxnSpPr>
        <xdr:cNvPr id="302" name="直線コネクタ 301">
          <a:extLst>
            <a:ext uri="{FF2B5EF4-FFF2-40B4-BE49-F238E27FC236}">
              <a16:creationId xmlns:a16="http://schemas.microsoft.com/office/drawing/2014/main" id="{EF9AE720-8B1B-4B6E-89EF-DE31D212321C}"/>
            </a:ext>
          </a:extLst>
        </xdr:cNvPr>
        <xdr:cNvCxnSpPr/>
      </xdr:nvCxnSpPr>
      <xdr:spPr>
        <a:xfrm>
          <a:off x="5836681" y="1303682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172186</xdr:colOff>
      <xdr:row>4</xdr:row>
      <xdr:rowOff>184765</xdr:rowOff>
    </xdr:from>
    <xdr:ext cx="426244" cy="0"/>
    <xdr:cxnSp macro="">
      <xdr:nvCxnSpPr>
        <xdr:cNvPr id="303" name="直線コネクタ 302">
          <a:extLst>
            <a:ext uri="{FF2B5EF4-FFF2-40B4-BE49-F238E27FC236}">
              <a16:creationId xmlns:a16="http://schemas.microsoft.com/office/drawing/2014/main" id="{862EA47E-82CF-48DE-B945-65E448A3B874}"/>
            </a:ext>
          </a:extLst>
        </xdr:cNvPr>
        <xdr:cNvCxnSpPr/>
      </xdr:nvCxnSpPr>
      <xdr:spPr>
        <a:xfrm>
          <a:off x="5887186" y="1099165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112973</xdr:colOff>
      <xdr:row>5</xdr:row>
      <xdr:rowOff>136720</xdr:rowOff>
    </xdr:from>
    <xdr:ext cx="37664" cy="42986"/>
    <xdr:sp macro="" textlink="">
      <xdr:nvSpPr>
        <xdr:cNvPr id="304" name="楕円 303">
          <a:extLst>
            <a:ext uri="{FF2B5EF4-FFF2-40B4-BE49-F238E27FC236}">
              <a16:creationId xmlns:a16="http://schemas.microsoft.com/office/drawing/2014/main" id="{002C9A99-4851-40E0-8772-F1DC4B1DD5D1}"/>
            </a:ext>
          </a:extLst>
        </xdr:cNvPr>
        <xdr:cNvSpPr/>
      </xdr:nvSpPr>
      <xdr:spPr>
        <a:xfrm>
          <a:off x="5827973" y="1279720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54107</xdr:colOff>
      <xdr:row>12</xdr:row>
      <xdr:rowOff>147374</xdr:rowOff>
    </xdr:from>
    <xdr:ext cx="37664" cy="42986"/>
    <xdr:sp macro="" textlink="">
      <xdr:nvSpPr>
        <xdr:cNvPr id="305" name="楕円 304">
          <a:extLst>
            <a:ext uri="{FF2B5EF4-FFF2-40B4-BE49-F238E27FC236}">
              <a16:creationId xmlns:a16="http://schemas.microsoft.com/office/drawing/2014/main" id="{69E2EDB1-0FEB-4AFA-871E-AF36F1EA2AA9}"/>
            </a:ext>
          </a:extLst>
        </xdr:cNvPr>
        <xdr:cNvSpPr/>
      </xdr:nvSpPr>
      <xdr:spPr>
        <a:xfrm>
          <a:off x="55405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31</xdr:col>
      <xdr:colOff>30310</xdr:colOff>
      <xdr:row>9</xdr:row>
      <xdr:rowOff>118663</xdr:rowOff>
    </xdr:from>
    <xdr:ext cx="37664" cy="42986"/>
    <xdr:sp macro="" textlink="">
      <xdr:nvSpPr>
        <xdr:cNvPr id="306" name="楕円 305">
          <a:extLst>
            <a:ext uri="{FF2B5EF4-FFF2-40B4-BE49-F238E27FC236}">
              <a16:creationId xmlns:a16="http://schemas.microsoft.com/office/drawing/2014/main" id="{AA887571-1133-4EE7-9926-1548A1BB4B2D}"/>
            </a:ext>
          </a:extLst>
        </xdr:cNvPr>
        <xdr:cNvSpPr/>
      </xdr:nvSpPr>
      <xdr:spPr>
        <a:xfrm>
          <a:off x="57453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31</xdr:col>
      <xdr:colOff>100132</xdr:colOff>
      <xdr:row>8</xdr:row>
      <xdr:rowOff>115419</xdr:rowOff>
    </xdr:from>
    <xdr:ext cx="37664" cy="42986"/>
    <xdr:sp macro="" textlink="">
      <xdr:nvSpPr>
        <xdr:cNvPr id="310" name="楕円 309">
          <a:extLst>
            <a:ext uri="{FF2B5EF4-FFF2-40B4-BE49-F238E27FC236}">
              <a16:creationId xmlns:a16="http://schemas.microsoft.com/office/drawing/2014/main" id="{1EA0BDD4-9FDF-46EA-84A2-D463F758376E}"/>
            </a:ext>
          </a:extLst>
        </xdr:cNvPr>
        <xdr:cNvSpPr/>
      </xdr:nvSpPr>
      <xdr:spPr>
        <a:xfrm>
          <a:off x="7186732" y="194421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154575</xdr:colOff>
      <xdr:row>11</xdr:row>
      <xdr:rowOff>13742</xdr:rowOff>
    </xdr:from>
    <xdr:ext cx="37664" cy="42986"/>
    <xdr:sp macro="" textlink="">
      <xdr:nvSpPr>
        <xdr:cNvPr id="312" name="楕円 311">
          <a:extLst>
            <a:ext uri="{FF2B5EF4-FFF2-40B4-BE49-F238E27FC236}">
              <a16:creationId xmlns:a16="http://schemas.microsoft.com/office/drawing/2014/main" id="{868A12FF-C816-473A-8D68-DBB775B72493}"/>
            </a:ext>
          </a:extLst>
        </xdr:cNvPr>
        <xdr:cNvSpPr/>
      </xdr:nvSpPr>
      <xdr:spPr>
        <a:xfrm>
          <a:off x="56409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33</xdr:col>
      <xdr:colOff>65762</xdr:colOff>
      <xdr:row>8</xdr:row>
      <xdr:rowOff>81965</xdr:rowOff>
    </xdr:from>
    <xdr:ext cx="0" cy="1318146"/>
    <xdr:cxnSp macro="">
      <xdr:nvCxnSpPr>
        <xdr:cNvPr id="315" name="直線コネクタ 314">
          <a:extLst>
            <a:ext uri="{FF2B5EF4-FFF2-40B4-BE49-F238E27FC236}">
              <a16:creationId xmlns:a16="http://schemas.microsoft.com/office/drawing/2014/main" id="{C7622D2C-3E71-438A-8482-DA92B57EA989}"/>
            </a:ext>
          </a:extLst>
        </xdr:cNvPr>
        <xdr:cNvCxnSpPr/>
      </xdr:nvCxnSpPr>
      <xdr:spPr>
        <a:xfrm>
          <a:off x="6237962" y="1910765"/>
          <a:ext cx="0" cy="131814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93345</xdr:colOff>
      <xdr:row>8</xdr:row>
      <xdr:rowOff>80757</xdr:rowOff>
    </xdr:from>
    <xdr:ext cx="1191087" cy="0"/>
    <xdr:cxnSp macro="">
      <xdr:nvCxnSpPr>
        <xdr:cNvPr id="316" name="直線コネクタ 315">
          <a:extLst>
            <a:ext uri="{FF2B5EF4-FFF2-40B4-BE49-F238E27FC236}">
              <a16:creationId xmlns:a16="http://schemas.microsoft.com/office/drawing/2014/main" id="{BDE61040-ECF5-4098-977D-4AF6ACFCA25B}"/>
            </a:ext>
          </a:extLst>
        </xdr:cNvPr>
        <xdr:cNvCxnSpPr/>
      </xdr:nvCxnSpPr>
      <xdr:spPr>
        <a:xfrm>
          <a:off x="5351145" y="1909557"/>
          <a:ext cx="119108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33</xdr:col>
      <xdr:colOff>158473</xdr:colOff>
      <xdr:row>8</xdr:row>
      <xdr:rowOff>107599</xdr:rowOff>
    </xdr:from>
    <xdr:ext cx="167391" cy="0"/>
    <xdr:cxnSp macro="">
      <xdr:nvCxnSpPr>
        <xdr:cNvPr id="317" name="直線コネクタ 316">
          <a:extLst>
            <a:ext uri="{FF2B5EF4-FFF2-40B4-BE49-F238E27FC236}">
              <a16:creationId xmlns:a16="http://schemas.microsoft.com/office/drawing/2014/main" id="{12E8F051-E03F-408C-8A8E-1153D9C023FE}"/>
            </a:ext>
          </a:extLst>
        </xdr:cNvPr>
        <xdr:cNvCxnSpPr/>
      </xdr:nvCxnSpPr>
      <xdr:spPr>
        <a:xfrm>
          <a:off x="6330673" y="1936399"/>
          <a:ext cx="167391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33</xdr:col>
      <xdr:colOff>221934</xdr:colOff>
      <xdr:row>8</xdr:row>
      <xdr:rowOff>159172</xdr:rowOff>
    </xdr:from>
    <xdr:ext cx="42778" cy="0"/>
    <xdr:cxnSp macro="">
      <xdr:nvCxnSpPr>
        <xdr:cNvPr id="318" name="直線コネクタ 317">
          <a:extLst>
            <a:ext uri="{FF2B5EF4-FFF2-40B4-BE49-F238E27FC236}">
              <a16:creationId xmlns:a16="http://schemas.microsoft.com/office/drawing/2014/main" id="{5F9FA5D8-0E36-4423-A332-9A36570EDC0B}"/>
            </a:ext>
          </a:extLst>
        </xdr:cNvPr>
        <xdr:cNvCxnSpPr/>
      </xdr:nvCxnSpPr>
      <xdr:spPr>
        <a:xfrm>
          <a:off x="6394134" y="1987972"/>
          <a:ext cx="4277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33</xdr:col>
      <xdr:colOff>200544</xdr:colOff>
      <xdr:row>8</xdr:row>
      <xdr:rowOff>35263</xdr:rowOff>
    </xdr:from>
    <xdr:ext cx="82071" cy="45161"/>
    <xdr:sp macro="" textlink="">
      <xdr:nvSpPr>
        <xdr:cNvPr id="319" name="二等辺三角形 318">
          <a:extLst>
            <a:ext uri="{FF2B5EF4-FFF2-40B4-BE49-F238E27FC236}">
              <a16:creationId xmlns:a16="http://schemas.microsoft.com/office/drawing/2014/main" id="{2F919389-1DD0-44EB-B073-F07A374A17E3}"/>
            </a:ext>
          </a:extLst>
        </xdr:cNvPr>
        <xdr:cNvSpPr/>
      </xdr:nvSpPr>
      <xdr:spPr>
        <a:xfrm rot="10800000">
          <a:off x="6372744" y="1864063"/>
          <a:ext cx="82071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33</xdr:col>
      <xdr:colOff>51267</xdr:colOff>
      <xdr:row>10</xdr:row>
      <xdr:rowOff>177205</xdr:rowOff>
    </xdr:from>
    <xdr:ext cx="224998" cy="387607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7E4564C2-3063-40DD-A9F4-571EC1CC0E5B}"/>
            </a:ext>
          </a:extLst>
        </xdr:cNvPr>
        <xdr:cNvSpPr txBox="1"/>
      </xdr:nvSpPr>
      <xdr:spPr>
        <a:xfrm rot="16200000">
          <a:off x="6142162" y="254451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33</xdr:col>
      <xdr:colOff>71079</xdr:colOff>
      <xdr:row>9</xdr:row>
      <xdr:rowOff>95792</xdr:rowOff>
    </xdr:from>
    <xdr:ext cx="224998" cy="444352"/>
    <xdr:sp macro="" textlink="'1.設計条件'!T37">
      <xdr:nvSpPr>
        <xdr:cNvPr id="321" name="テキスト ボックス 320">
          <a:extLst>
            <a:ext uri="{FF2B5EF4-FFF2-40B4-BE49-F238E27FC236}">
              <a16:creationId xmlns:a16="http://schemas.microsoft.com/office/drawing/2014/main" id="{2A92E540-2AAC-48BC-AB3F-D95AF972E8EC}"/>
            </a:ext>
          </a:extLst>
        </xdr:cNvPr>
        <xdr:cNvSpPr txBox="1"/>
      </xdr:nvSpPr>
      <xdr:spPr>
        <a:xfrm rot="16200000">
          <a:off x="6133602" y="226286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33</xdr:col>
      <xdr:colOff>190977</xdr:colOff>
      <xdr:row>8</xdr:row>
      <xdr:rowOff>134269</xdr:rowOff>
    </xdr:from>
    <xdr:ext cx="98247" cy="0"/>
    <xdr:cxnSp macro="">
      <xdr:nvCxnSpPr>
        <xdr:cNvPr id="322" name="直線コネクタ 321">
          <a:extLst>
            <a:ext uri="{FF2B5EF4-FFF2-40B4-BE49-F238E27FC236}">
              <a16:creationId xmlns:a16="http://schemas.microsoft.com/office/drawing/2014/main" id="{DF8A5D34-2439-47BB-B912-0CC44F90C7CE}"/>
            </a:ext>
          </a:extLst>
        </xdr:cNvPr>
        <xdr:cNvCxnSpPr/>
      </xdr:nvCxnSpPr>
      <xdr:spPr>
        <a:xfrm>
          <a:off x="6363177" y="1963069"/>
          <a:ext cx="9824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31</xdr:col>
      <xdr:colOff>220014</xdr:colOff>
      <xdr:row>14</xdr:row>
      <xdr:rowOff>28999</xdr:rowOff>
    </xdr:from>
    <xdr:ext cx="392806" cy="0"/>
    <xdr:cxnSp macro="">
      <xdr:nvCxnSpPr>
        <xdr:cNvPr id="323" name="直線コネクタ 322">
          <a:extLst>
            <a:ext uri="{FF2B5EF4-FFF2-40B4-BE49-F238E27FC236}">
              <a16:creationId xmlns:a16="http://schemas.microsoft.com/office/drawing/2014/main" id="{0084AFBB-6B22-45A8-ABE8-7D4B8FAFFF21}"/>
            </a:ext>
          </a:extLst>
        </xdr:cNvPr>
        <xdr:cNvCxnSpPr/>
      </xdr:nvCxnSpPr>
      <xdr:spPr>
        <a:xfrm>
          <a:off x="5935014" y="3229399"/>
          <a:ext cx="3928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216139</xdr:colOff>
      <xdr:row>4</xdr:row>
      <xdr:rowOff>101564</xdr:rowOff>
    </xdr:from>
    <xdr:ext cx="409788" cy="0"/>
    <xdr:cxnSp macro="">
      <xdr:nvCxnSpPr>
        <xdr:cNvPr id="324" name="直線コネクタ 323">
          <a:extLst>
            <a:ext uri="{FF2B5EF4-FFF2-40B4-BE49-F238E27FC236}">
              <a16:creationId xmlns:a16="http://schemas.microsoft.com/office/drawing/2014/main" id="{7F9068F6-F26C-470E-B8E4-EF651BC3E31F}"/>
            </a:ext>
          </a:extLst>
        </xdr:cNvPr>
        <xdr:cNvCxnSpPr/>
      </xdr:nvCxnSpPr>
      <xdr:spPr>
        <a:xfrm>
          <a:off x="14095425" y="1026850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43611</xdr:colOff>
      <xdr:row>4</xdr:row>
      <xdr:rowOff>101564</xdr:rowOff>
    </xdr:from>
    <xdr:ext cx="581794" cy="2117999"/>
    <xdr:cxnSp macro="">
      <xdr:nvCxnSpPr>
        <xdr:cNvPr id="325" name="直線コネクタ 324">
          <a:extLst>
            <a:ext uri="{FF2B5EF4-FFF2-40B4-BE49-F238E27FC236}">
              <a16:creationId xmlns:a16="http://schemas.microsoft.com/office/drawing/2014/main" id="{6AA3EF7C-F31F-4ABD-9234-3E447DD09662}"/>
            </a:ext>
          </a:extLst>
        </xdr:cNvPr>
        <xdr:cNvCxnSpPr/>
      </xdr:nvCxnSpPr>
      <xdr:spPr>
        <a:xfrm flipH="1">
          <a:off x="13922897" y="1026850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85820</xdr:colOff>
      <xdr:row>4</xdr:row>
      <xdr:rowOff>101564</xdr:rowOff>
    </xdr:from>
    <xdr:ext cx="581037" cy="2115065"/>
    <xdr:cxnSp macro="">
      <xdr:nvCxnSpPr>
        <xdr:cNvPr id="326" name="直線コネクタ 325">
          <a:extLst>
            <a:ext uri="{FF2B5EF4-FFF2-40B4-BE49-F238E27FC236}">
              <a16:creationId xmlns:a16="http://schemas.microsoft.com/office/drawing/2014/main" id="{02BCECEB-1CBC-4559-8357-EA9E7CF8ECAD}"/>
            </a:ext>
          </a:extLst>
        </xdr:cNvPr>
        <xdr:cNvCxnSpPr/>
      </xdr:nvCxnSpPr>
      <xdr:spPr>
        <a:xfrm flipH="1">
          <a:off x="13502463" y="1026850"/>
          <a:ext cx="581037" cy="211506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49777</xdr:colOff>
      <xdr:row>13</xdr:row>
      <xdr:rowOff>162318</xdr:rowOff>
    </xdr:from>
    <xdr:ext cx="481788" cy="92843"/>
    <xdr:sp macro="" textlink="">
      <xdr:nvSpPr>
        <xdr:cNvPr id="327" name="正方形/長方形 326">
          <a:extLst>
            <a:ext uri="{FF2B5EF4-FFF2-40B4-BE49-F238E27FC236}">
              <a16:creationId xmlns:a16="http://schemas.microsoft.com/office/drawing/2014/main" id="{56449B7B-4AE0-46E9-811E-56A2A8850ACF}"/>
            </a:ext>
          </a:extLst>
        </xdr:cNvPr>
        <xdr:cNvSpPr/>
      </xdr:nvSpPr>
      <xdr:spPr>
        <a:xfrm>
          <a:off x="13466420" y="316949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171450</xdr:colOff>
      <xdr:row>4</xdr:row>
      <xdr:rowOff>190264</xdr:rowOff>
    </xdr:from>
    <xdr:ext cx="547258" cy="2021589"/>
    <xdr:cxnSp macro="">
      <xdr:nvCxnSpPr>
        <xdr:cNvPr id="328" name="直線コネクタ 327">
          <a:extLst>
            <a:ext uri="{FF2B5EF4-FFF2-40B4-BE49-F238E27FC236}">
              <a16:creationId xmlns:a16="http://schemas.microsoft.com/office/drawing/2014/main" id="{01EDA39E-AC9A-4591-BCB4-9BEB55A6B299}"/>
            </a:ext>
          </a:extLst>
        </xdr:cNvPr>
        <xdr:cNvCxnSpPr/>
      </xdr:nvCxnSpPr>
      <xdr:spPr>
        <a:xfrm flipH="1">
          <a:off x="13819414" y="1115550"/>
          <a:ext cx="547258" cy="202158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186681</xdr:colOff>
      <xdr:row>11</xdr:row>
      <xdr:rowOff>218921</xdr:rowOff>
    </xdr:from>
    <xdr:ext cx="312805" cy="0"/>
    <xdr:cxnSp macro="">
      <xdr:nvCxnSpPr>
        <xdr:cNvPr id="329" name="直線コネクタ 328">
          <a:extLst>
            <a:ext uri="{FF2B5EF4-FFF2-40B4-BE49-F238E27FC236}">
              <a16:creationId xmlns:a16="http://schemas.microsoft.com/office/drawing/2014/main" id="{505CFC5C-898D-41AE-BC57-A3D578E597ED}"/>
            </a:ext>
          </a:extLst>
        </xdr:cNvPr>
        <xdr:cNvCxnSpPr/>
      </xdr:nvCxnSpPr>
      <xdr:spPr>
        <a:xfrm>
          <a:off x="13603324" y="276345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48647</xdr:colOff>
      <xdr:row>10</xdr:row>
      <xdr:rowOff>98907</xdr:rowOff>
    </xdr:from>
    <xdr:ext cx="319700" cy="0"/>
    <xdr:cxnSp macro="">
      <xdr:nvCxnSpPr>
        <xdr:cNvPr id="330" name="直線コネクタ 329">
          <a:extLst>
            <a:ext uri="{FF2B5EF4-FFF2-40B4-BE49-F238E27FC236}">
              <a16:creationId xmlns:a16="http://schemas.microsoft.com/office/drawing/2014/main" id="{4A9C3A40-1ACA-443A-9E7F-623636F12E0F}"/>
            </a:ext>
          </a:extLst>
        </xdr:cNvPr>
        <xdr:cNvCxnSpPr/>
      </xdr:nvCxnSpPr>
      <xdr:spPr>
        <a:xfrm>
          <a:off x="13696611" y="2412121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158710</xdr:colOff>
      <xdr:row>8</xdr:row>
      <xdr:rowOff>205043</xdr:rowOff>
    </xdr:from>
    <xdr:ext cx="312806" cy="0"/>
    <xdr:cxnSp macro="">
      <xdr:nvCxnSpPr>
        <xdr:cNvPr id="331" name="直線コネクタ 330">
          <a:extLst>
            <a:ext uri="{FF2B5EF4-FFF2-40B4-BE49-F238E27FC236}">
              <a16:creationId xmlns:a16="http://schemas.microsoft.com/office/drawing/2014/main" id="{CA3DA82F-07A3-4C8E-B57B-A50FB164C5EB}"/>
            </a:ext>
          </a:extLst>
        </xdr:cNvPr>
        <xdr:cNvCxnSpPr/>
      </xdr:nvCxnSpPr>
      <xdr:spPr>
        <a:xfrm>
          <a:off x="13806674" y="2055614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17655</xdr:colOff>
      <xdr:row>7</xdr:row>
      <xdr:rowOff>74140</xdr:rowOff>
    </xdr:from>
    <xdr:ext cx="310084" cy="0"/>
    <xdr:cxnSp macro="">
      <xdr:nvCxnSpPr>
        <xdr:cNvPr id="332" name="直線コネクタ 331">
          <a:extLst>
            <a:ext uri="{FF2B5EF4-FFF2-40B4-BE49-F238E27FC236}">
              <a16:creationId xmlns:a16="http://schemas.microsoft.com/office/drawing/2014/main" id="{BDAAF814-DB5D-4A4B-B7E9-78B0189FAC14}"/>
            </a:ext>
          </a:extLst>
        </xdr:cNvPr>
        <xdr:cNvCxnSpPr/>
      </xdr:nvCxnSpPr>
      <xdr:spPr>
        <a:xfrm>
          <a:off x="13896941" y="169339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121681</xdr:colOff>
      <xdr:row>5</xdr:row>
      <xdr:rowOff>160682</xdr:rowOff>
    </xdr:from>
    <xdr:ext cx="312805" cy="0"/>
    <xdr:cxnSp macro="">
      <xdr:nvCxnSpPr>
        <xdr:cNvPr id="333" name="直線コネクタ 332">
          <a:extLst>
            <a:ext uri="{FF2B5EF4-FFF2-40B4-BE49-F238E27FC236}">
              <a16:creationId xmlns:a16="http://schemas.microsoft.com/office/drawing/2014/main" id="{1D913635-61DC-4FCE-AFF4-D826C452894C}"/>
            </a:ext>
          </a:extLst>
        </xdr:cNvPr>
        <xdr:cNvCxnSpPr/>
      </xdr:nvCxnSpPr>
      <xdr:spPr>
        <a:xfrm>
          <a:off x="14000967" y="1317289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172186</xdr:colOff>
      <xdr:row>4</xdr:row>
      <xdr:rowOff>184765</xdr:rowOff>
    </xdr:from>
    <xdr:ext cx="426244" cy="0"/>
    <xdr:cxnSp macro="">
      <xdr:nvCxnSpPr>
        <xdr:cNvPr id="334" name="直線コネクタ 333">
          <a:extLst>
            <a:ext uri="{FF2B5EF4-FFF2-40B4-BE49-F238E27FC236}">
              <a16:creationId xmlns:a16="http://schemas.microsoft.com/office/drawing/2014/main" id="{6D64A25E-D8EF-49B2-9C63-D2C7A808A637}"/>
            </a:ext>
          </a:extLst>
        </xdr:cNvPr>
        <xdr:cNvCxnSpPr/>
      </xdr:nvCxnSpPr>
      <xdr:spPr>
        <a:xfrm>
          <a:off x="14051472" y="111005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228180</xdr:colOff>
      <xdr:row>7</xdr:row>
      <xdr:rowOff>59613</xdr:rowOff>
    </xdr:from>
    <xdr:ext cx="37664" cy="42986"/>
    <xdr:sp macro="" textlink="">
      <xdr:nvSpPr>
        <xdr:cNvPr id="335" name="楕円 334">
          <a:extLst>
            <a:ext uri="{FF2B5EF4-FFF2-40B4-BE49-F238E27FC236}">
              <a16:creationId xmlns:a16="http://schemas.microsoft.com/office/drawing/2014/main" id="{276A6DA2-C723-4949-A9BB-CFBB9B96FC13}"/>
            </a:ext>
          </a:extLst>
        </xdr:cNvPr>
        <xdr:cNvSpPr/>
      </xdr:nvSpPr>
      <xdr:spPr>
        <a:xfrm>
          <a:off x="13876144" y="1678863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54107</xdr:colOff>
      <xdr:row>12</xdr:row>
      <xdr:rowOff>147374</xdr:rowOff>
    </xdr:from>
    <xdr:ext cx="37664" cy="42986"/>
    <xdr:sp macro="" textlink="">
      <xdr:nvSpPr>
        <xdr:cNvPr id="336" name="楕円 335">
          <a:extLst>
            <a:ext uri="{FF2B5EF4-FFF2-40B4-BE49-F238E27FC236}">
              <a16:creationId xmlns:a16="http://schemas.microsoft.com/office/drawing/2014/main" id="{2F079994-2BA5-4BA4-8103-BB55C4450347}"/>
            </a:ext>
          </a:extLst>
        </xdr:cNvPr>
        <xdr:cNvSpPr/>
      </xdr:nvSpPr>
      <xdr:spPr>
        <a:xfrm>
          <a:off x="13702071" y="292323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66</xdr:col>
      <xdr:colOff>30310</xdr:colOff>
      <xdr:row>9</xdr:row>
      <xdr:rowOff>118663</xdr:rowOff>
    </xdr:from>
    <xdr:ext cx="37664" cy="42986"/>
    <xdr:sp macro="" textlink="">
      <xdr:nvSpPr>
        <xdr:cNvPr id="340" name="楕円 339">
          <a:extLst>
            <a:ext uri="{FF2B5EF4-FFF2-40B4-BE49-F238E27FC236}">
              <a16:creationId xmlns:a16="http://schemas.microsoft.com/office/drawing/2014/main" id="{BDCE86D6-19EA-4966-B210-827CB580466A}"/>
            </a:ext>
          </a:extLst>
        </xdr:cNvPr>
        <xdr:cNvSpPr/>
      </xdr:nvSpPr>
      <xdr:spPr>
        <a:xfrm>
          <a:off x="13909596" y="22005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66</xdr:col>
      <xdr:colOff>100132</xdr:colOff>
      <xdr:row>8</xdr:row>
      <xdr:rowOff>110656</xdr:rowOff>
    </xdr:from>
    <xdr:ext cx="37664" cy="42986"/>
    <xdr:sp macro="" textlink="">
      <xdr:nvSpPr>
        <xdr:cNvPr id="345" name="楕円 344">
          <a:extLst>
            <a:ext uri="{FF2B5EF4-FFF2-40B4-BE49-F238E27FC236}">
              <a16:creationId xmlns:a16="http://schemas.microsoft.com/office/drawing/2014/main" id="{66A20423-CE44-43B6-9A9B-45264DBDB747}"/>
            </a:ext>
          </a:extLst>
        </xdr:cNvPr>
        <xdr:cNvSpPr/>
      </xdr:nvSpPr>
      <xdr:spPr>
        <a:xfrm>
          <a:off x="15187732" y="19394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154575</xdr:colOff>
      <xdr:row>11</xdr:row>
      <xdr:rowOff>13742</xdr:rowOff>
    </xdr:from>
    <xdr:ext cx="37664" cy="42986"/>
    <xdr:sp macro="" textlink="">
      <xdr:nvSpPr>
        <xdr:cNvPr id="347" name="楕円 346">
          <a:extLst>
            <a:ext uri="{FF2B5EF4-FFF2-40B4-BE49-F238E27FC236}">
              <a16:creationId xmlns:a16="http://schemas.microsoft.com/office/drawing/2014/main" id="{B807D969-CF8A-4737-8658-3B0C00FA3A2D}"/>
            </a:ext>
          </a:extLst>
        </xdr:cNvPr>
        <xdr:cNvSpPr/>
      </xdr:nvSpPr>
      <xdr:spPr>
        <a:xfrm>
          <a:off x="13802539" y="255827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68</xdr:col>
      <xdr:colOff>31472</xdr:colOff>
      <xdr:row>8</xdr:row>
      <xdr:rowOff>68631</xdr:rowOff>
    </xdr:from>
    <xdr:ext cx="0" cy="1348329"/>
    <xdr:cxnSp macro="">
      <xdr:nvCxnSpPr>
        <xdr:cNvPr id="353" name="直線コネクタ 352">
          <a:extLst>
            <a:ext uri="{FF2B5EF4-FFF2-40B4-BE49-F238E27FC236}">
              <a16:creationId xmlns:a16="http://schemas.microsoft.com/office/drawing/2014/main" id="{2C4B0BF0-5C73-4E54-8587-585E400804ED}"/>
            </a:ext>
          </a:extLst>
        </xdr:cNvPr>
        <xdr:cNvCxnSpPr/>
      </xdr:nvCxnSpPr>
      <xdr:spPr>
        <a:xfrm>
          <a:off x="14373401" y="1919202"/>
          <a:ext cx="0" cy="134832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59055</xdr:colOff>
      <xdr:row>8</xdr:row>
      <xdr:rowOff>67422</xdr:rowOff>
    </xdr:from>
    <xdr:ext cx="1204694" cy="0"/>
    <xdr:cxnSp macro="">
      <xdr:nvCxnSpPr>
        <xdr:cNvPr id="354" name="直線コネクタ 353">
          <a:extLst>
            <a:ext uri="{FF2B5EF4-FFF2-40B4-BE49-F238E27FC236}">
              <a16:creationId xmlns:a16="http://schemas.microsoft.com/office/drawing/2014/main" id="{1B2745C6-55E2-4E14-8962-E394D26FABEB}"/>
            </a:ext>
          </a:extLst>
        </xdr:cNvPr>
        <xdr:cNvCxnSpPr/>
      </xdr:nvCxnSpPr>
      <xdr:spPr>
        <a:xfrm>
          <a:off x="13475698" y="1917993"/>
          <a:ext cx="120469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68</xdr:col>
      <xdr:colOff>124183</xdr:colOff>
      <xdr:row>8</xdr:row>
      <xdr:rowOff>94264</xdr:rowOff>
    </xdr:from>
    <xdr:ext cx="170112" cy="0"/>
    <xdr:cxnSp macro="">
      <xdr:nvCxnSpPr>
        <xdr:cNvPr id="355" name="直線コネクタ 354">
          <a:extLst>
            <a:ext uri="{FF2B5EF4-FFF2-40B4-BE49-F238E27FC236}">
              <a16:creationId xmlns:a16="http://schemas.microsoft.com/office/drawing/2014/main" id="{10797A24-1FAA-40D1-ACD7-1BECAB50F7CC}"/>
            </a:ext>
          </a:extLst>
        </xdr:cNvPr>
        <xdr:cNvCxnSpPr/>
      </xdr:nvCxnSpPr>
      <xdr:spPr>
        <a:xfrm>
          <a:off x="14466112" y="1944835"/>
          <a:ext cx="17011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68</xdr:col>
      <xdr:colOff>187644</xdr:colOff>
      <xdr:row>8</xdr:row>
      <xdr:rowOff>145837</xdr:rowOff>
    </xdr:from>
    <xdr:ext cx="45499" cy="0"/>
    <xdr:cxnSp macro="">
      <xdr:nvCxnSpPr>
        <xdr:cNvPr id="356" name="直線コネクタ 355">
          <a:extLst>
            <a:ext uri="{FF2B5EF4-FFF2-40B4-BE49-F238E27FC236}">
              <a16:creationId xmlns:a16="http://schemas.microsoft.com/office/drawing/2014/main" id="{56117936-492F-495F-BFE8-AD993FDA2E59}"/>
            </a:ext>
          </a:extLst>
        </xdr:cNvPr>
        <xdr:cNvCxnSpPr/>
      </xdr:nvCxnSpPr>
      <xdr:spPr>
        <a:xfrm>
          <a:off x="14529573" y="1996408"/>
          <a:ext cx="4549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68</xdr:col>
      <xdr:colOff>166254</xdr:colOff>
      <xdr:row>8</xdr:row>
      <xdr:rowOff>21928</xdr:rowOff>
    </xdr:from>
    <xdr:ext cx="84792" cy="45161"/>
    <xdr:sp macro="" textlink="">
      <xdr:nvSpPr>
        <xdr:cNvPr id="357" name="二等辺三角形 356">
          <a:extLst>
            <a:ext uri="{FF2B5EF4-FFF2-40B4-BE49-F238E27FC236}">
              <a16:creationId xmlns:a16="http://schemas.microsoft.com/office/drawing/2014/main" id="{99939E00-4106-4764-B876-0479E2B8583E}"/>
            </a:ext>
          </a:extLst>
        </xdr:cNvPr>
        <xdr:cNvSpPr/>
      </xdr:nvSpPr>
      <xdr:spPr>
        <a:xfrm rot="10800000">
          <a:off x="14508183" y="1872499"/>
          <a:ext cx="8479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68</xdr:col>
      <xdr:colOff>16977</xdr:colOff>
      <xdr:row>10</xdr:row>
      <xdr:rowOff>163870</xdr:rowOff>
    </xdr:from>
    <xdr:ext cx="224998" cy="387607"/>
    <xdr:sp macro="" textlink="">
      <xdr:nvSpPr>
        <xdr:cNvPr id="358" name="テキスト ボックス 357">
          <a:extLst>
            <a:ext uri="{FF2B5EF4-FFF2-40B4-BE49-F238E27FC236}">
              <a16:creationId xmlns:a16="http://schemas.microsoft.com/office/drawing/2014/main" id="{8A3055AC-CCC4-4D0F-8F99-3F81EED7C525}"/>
            </a:ext>
          </a:extLst>
        </xdr:cNvPr>
        <xdr:cNvSpPr txBox="1"/>
      </xdr:nvSpPr>
      <xdr:spPr>
        <a:xfrm rot="16200000">
          <a:off x="14277601" y="255838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68</xdr:col>
      <xdr:colOff>36789</xdr:colOff>
      <xdr:row>9</xdr:row>
      <xdr:rowOff>82457</xdr:rowOff>
    </xdr:from>
    <xdr:ext cx="224998" cy="444352"/>
    <xdr:sp macro="" textlink="'1.設計条件'!T37">
      <xdr:nvSpPr>
        <xdr:cNvPr id="359" name="テキスト ボックス 358">
          <a:extLst>
            <a:ext uri="{FF2B5EF4-FFF2-40B4-BE49-F238E27FC236}">
              <a16:creationId xmlns:a16="http://schemas.microsoft.com/office/drawing/2014/main" id="{D004879D-9029-42E2-B567-76FAFAEDDD02}"/>
            </a:ext>
          </a:extLst>
        </xdr:cNvPr>
        <xdr:cNvSpPr txBox="1"/>
      </xdr:nvSpPr>
      <xdr:spPr>
        <a:xfrm rot="16200000">
          <a:off x="14269041" y="22740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68</xdr:col>
      <xdr:colOff>156687</xdr:colOff>
      <xdr:row>8</xdr:row>
      <xdr:rowOff>120934</xdr:rowOff>
    </xdr:from>
    <xdr:ext cx="100968" cy="0"/>
    <xdr:cxnSp macro="">
      <xdr:nvCxnSpPr>
        <xdr:cNvPr id="360" name="直線コネクタ 359">
          <a:extLst>
            <a:ext uri="{FF2B5EF4-FFF2-40B4-BE49-F238E27FC236}">
              <a16:creationId xmlns:a16="http://schemas.microsoft.com/office/drawing/2014/main" id="{38995EA0-38F6-43F4-8ABF-6F2BEBCFC9C4}"/>
            </a:ext>
          </a:extLst>
        </xdr:cNvPr>
        <xdr:cNvCxnSpPr/>
      </xdr:nvCxnSpPr>
      <xdr:spPr>
        <a:xfrm>
          <a:off x="14498616" y="1971505"/>
          <a:ext cx="10096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66</xdr:col>
      <xdr:colOff>185724</xdr:colOff>
      <xdr:row>14</xdr:row>
      <xdr:rowOff>28999</xdr:rowOff>
    </xdr:from>
    <xdr:ext cx="398249" cy="0"/>
    <xdr:cxnSp macro="">
      <xdr:nvCxnSpPr>
        <xdr:cNvPr id="361" name="直線コネクタ 360">
          <a:extLst>
            <a:ext uri="{FF2B5EF4-FFF2-40B4-BE49-F238E27FC236}">
              <a16:creationId xmlns:a16="http://schemas.microsoft.com/office/drawing/2014/main" id="{F86567D0-9F99-4CB9-A489-0B19C14807E4}"/>
            </a:ext>
          </a:extLst>
        </xdr:cNvPr>
        <xdr:cNvCxnSpPr/>
      </xdr:nvCxnSpPr>
      <xdr:spPr>
        <a:xfrm>
          <a:off x="14065010" y="3267499"/>
          <a:ext cx="39824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216139</xdr:colOff>
      <xdr:row>4</xdr:row>
      <xdr:rowOff>101564</xdr:rowOff>
    </xdr:from>
    <xdr:ext cx="409788" cy="0"/>
    <xdr:cxnSp macro="">
      <xdr:nvCxnSpPr>
        <xdr:cNvPr id="362" name="直線コネクタ 361">
          <a:extLst>
            <a:ext uri="{FF2B5EF4-FFF2-40B4-BE49-F238E27FC236}">
              <a16:creationId xmlns:a16="http://schemas.microsoft.com/office/drawing/2014/main" id="{66E92291-4193-4780-AF06-0646D8D08B65}"/>
            </a:ext>
          </a:extLst>
        </xdr:cNvPr>
        <xdr:cNvCxnSpPr/>
      </xdr:nvCxnSpPr>
      <xdr:spPr>
        <a:xfrm>
          <a:off x="22191675" y="1026850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43611</xdr:colOff>
      <xdr:row>4</xdr:row>
      <xdr:rowOff>101564</xdr:rowOff>
    </xdr:from>
    <xdr:ext cx="581794" cy="2117999"/>
    <xdr:cxnSp macro="">
      <xdr:nvCxnSpPr>
        <xdr:cNvPr id="363" name="直線コネクタ 362">
          <a:extLst>
            <a:ext uri="{FF2B5EF4-FFF2-40B4-BE49-F238E27FC236}">
              <a16:creationId xmlns:a16="http://schemas.microsoft.com/office/drawing/2014/main" id="{9569DEAC-5E18-4876-95D6-6BEA814D05DA}"/>
            </a:ext>
          </a:extLst>
        </xdr:cNvPr>
        <xdr:cNvCxnSpPr/>
      </xdr:nvCxnSpPr>
      <xdr:spPr>
        <a:xfrm flipH="1">
          <a:off x="22019147" y="1026850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85821</xdr:colOff>
      <xdr:row>4</xdr:row>
      <xdr:rowOff>101564</xdr:rowOff>
    </xdr:from>
    <xdr:ext cx="581036" cy="2115061"/>
    <xdr:cxnSp macro="">
      <xdr:nvCxnSpPr>
        <xdr:cNvPr id="364" name="直線コネクタ 363">
          <a:extLst>
            <a:ext uri="{FF2B5EF4-FFF2-40B4-BE49-F238E27FC236}">
              <a16:creationId xmlns:a16="http://schemas.microsoft.com/office/drawing/2014/main" id="{8ACC4E85-1870-49FB-AFF0-590E6BB91BF2}"/>
            </a:ext>
          </a:extLst>
        </xdr:cNvPr>
        <xdr:cNvCxnSpPr/>
      </xdr:nvCxnSpPr>
      <xdr:spPr>
        <a:xfrm flipH="1">
          <a:off x="21598714" y="1026850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48796</xdr:colOff>
      <xdr:row>13</xdr:row>
      <xdr:rowOff>162318</xdr:rowOff>
    </xdr:from>
    <xdr:ext cx="481788" cy="92843"/>
    <xdr:sp macro="" textlink="">
      <xdr:nvSpPr>
        <xdr:cNvPr id="365" name="正方形/長方形 364">
          <a:extLst>
            <a:ext uri="{FF2B5EF4-FFF2-40B4-BE49-F238E27FC236}">
              <a16:creationId xmlns:a16="http://schemas.microsoft.com/office/drawing/2014/main" id="{A70907A8-A7B9-40F2-8D79-BBE5C9A1E8A0}"/>
            </a:ext>
          </a:extLst>
        </xdr:cNvPr>
        <xdr:cNvSpPr/>
      </xdr:nvSpPr>
      <xdr:spPr>
        <a:xfrm>
          <a:off x="21561689" y="316949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100</xdr:col>
      <xdr:colOff>169545</xdr:colOff>
      <xdr:row>4</xdr:row>
      <xdr:rowOff>190264</xdr:rowOff>
    </xdr:from>
    <xdr:ext cx="549163" cy="2028626"/>
    <xdr:cxnSp macro="">
      <xdr:nvCxnSpPr>
        <xdr:cNvPr id="366" name="直線コネクタ 365">
          <a:extLst>
            <a:ext uri="{FF2B5EF4-FFF2-40B4-BE49-F238E27FC236}">
              <a16:creationId xmlns:a16="http://schemas.microsoft.com/office/drawing/2014/main" id="{21596A84-B31B-40C5-B190-CEB80FCC1CAF}"/>
            </a:ext>
          </a:extLst>
        </xdr:cNvPr>
        <xdr:cNvCxnSpPr/>
      </xdr:nvCxnSpPr>
      <xdr:spPr>
        <a:xfrm flipH="1">
          <a:off x="21913759" y="1115550"/>
          <a:ext cx="549163" cy="202862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191473</xdr:colOff>
      <xdr:row>11</xdr:row>
      <xdr:rowOff>218921</xdr:rowOff>
    </xdr:from>
    <xdr:ext cx="312805" cy="0"/>
    <xdr:cxnSp macro="">
      <xdr:nvCxnSpPr>
        <xdr:cNvPr id="367" name="直線コネクタ 366">
          <a:extLst>
            <a:ext uri="{FF2B5EF4-FFF2-40B4-BE49-F238E27FC236}">
              <a16:creationId xmlns:a16="http://schemas.microsoft.com/office/drawing/2014/main" id="{49F50991-CF20-4F1B-8D0E-155ABAEA60C7}"/>
            </a:ext>
          </a:extLst>
        </xdr:cNvPr>
        <xdr:cNvCxnSpPr/>
      </xdr:nvCxnSpPr>
      <xdr:spPr>
        <a:xfrm>
          <a:off x="21704366" y="276345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53439</xdr:colOff>
      <xdr:row>10</xdr:row>
      <xdr:rowOff>98907</xdr:rowOff>
    </xdr:from>
    <xdr:ext cx="319700" cy="0"/>
    <xdr:cxnSp macro="">
      <xdr:nvCxnSpPr>
        <xdr:cNvPr id="368" name="直線コネクタ 367">
          <a:extLst>
            <a:ext uri="{FF2B5EF4-FFF2-40B4-BE49-F238E27FC236}">
              <a16:creationId xmlns:a16="http://schemas.microsoft.com/office/drawing/2014/main" id="{CF364520-3056-4AF2-8216-EAB9AEF33AFB}"/>
            </a:ext>
          </a:extLst>
        </xdr:cNvPr>
        <xdr:cNvCxnSpPr/>
      </xdr:nvCxnSpPr>
      <xdr:spPr>
        <a:xfrm>
          <a:off x="21797653" y="2412121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141752</xdr:colOff>
      <xdr:row>8</xdr:row>
      <xdr:rowOff>205043</xdr:rowOff>
    </xdr:from>
    <xdr:ext cx="312806" cy="0"/>
    <xdr:cxnSp macro="">
      <xdr:nvCxnSpPr>
        <xdr:cNvPr id="369" name="直線コネクタ 368">
          <a:extLst>
            <a:ext uri="{FF2B5EF4-FFF2-40B4-BE49-F238E27FC236}">
              <a16:creationId xmlns:a16="http://schemas.microsoft.com/office/drawing/2014/main" id="{68410C4E-701F-4983-A362-F61B703E500D}"/>
            </a:ext>
          </a:extLst>
        </xdr:cNvPr>
        <xdr:cNvCxnSpPr/>
      </xdr:nvCxnSpPr>
      <xdr:spPr>
        <a:xfrm>
          <a:off x="21885966" y="2055614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17655</xdr:colOff>
      <xdr:row>7</xdr:row>
      <xdr:rowOff>74140</xdr:rowOff>
    </xdr:from>
    <xdr:ext cx="310084" cy="0"/>
    <xdr:cxnSp macro="">
      <xdr:nvCxnSpPr>
        <xdr:cNvPr id="370" name="直線コネクタ 369">
          <a:extLst>
            <a:ext uri="{FF2B5EF4-FFF2-40B4-BE49-F238E27FC236}">
              <a16:creationId xmlns:a16="http://schemas.microsoft.com/office/drawing/2014/main" id="{53E1FE58-7F42-4EA0-A8D2-8EE68BC801A1}"/>
            </a:ext>
          </a:extLst>
        </xdr:cNvPr>
        <xdr:cNvCxnSpPr/>
      </xdr:nvCxnSpPr>
      <xdr:spPr>
        <a:xfrm>
          <a:off x="21993191" y="169339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121681</xdr:colOff>
      <xdr:row>5</xdr:row>
      <xdr:rowOff>160682</xdr:rowOff>
    </xdr:from>
    <xdr:ext cx="312805" cy="0"/>
    <xdr:cxnSp macro="">
      <xdr:nvCxnSpPr>
        <xdr:cNvPr id="371" name="直線コネクタ 370">
          <a:extLst>
            <a:ext uri="{FF2B5EF4-FFF2-40B4-BE49-F238E27FC236}">
              <a16:creationId xmlns:a16="http://schemas.microsoft.com/office/drawing/2014/main" id="{437CF6DD-33D5-42AA-8353-BBD23820C3F3}"/>
            </a:ext>
          </a:extLst>
        </xdr:cNvPr>
        <xdr:cNvCxnSpPr/>
      </xdr:nvCxnSpPr>
      <xdr:spPr>
        <a:xfrm>
          <a:off x="22097217" y="1317289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172186</xdr:colOff>
      <xdr:row>4</xdr:row>
      <xdr:rowOff>184765</xdr:rowOff>
    </xdr:from>
    <xdr:ext cx="426244" cy="0"/>
    <xdr:cxnSp macro="">
      <xdr:nvCxnSpPr>
        <xdr:cNvPr id="372" name="直線コネクタ 371">
          <a:extLst>
            <a:ext uri="{FF2B5EF4-FFF2-40B4-BE49-F238E27FC236}">
              <a16:creationId xmlns:a16="http://schemas.microsoft.com/office/drawing/2014/main" id="{DD4B43FD-B7A7-4C7B-980B-936DBF5230EA}"/>
            </a:ext>
          </a:extLst>
        </xdr:cNvPr>
        <xdr:cNvCxnSpPr/>
      </xdr:nvCxnSpPr>
      <xdr:spPr>
        <a:xfrm>
          <a:off x="22147722" y="111005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126580</xdr:colOff>
      <xdr:row>8</xdr:row>
      <xdr:rowOff>186613</xdr:rowOff>
    </xdr:from>
    <xdr:ext cx="37664" cy="42986"/>
    <xdr:sp macro="" textlink="">
      <xdr:nvSpPr>
        <xdr:cNvPr id="373" name="楕円 372">
          <a:extLst>
            <a:ext uri="{FF2B5EF4-FFF2-40B4-BE49-F238E27FC236}">
              <a16:creationId xmlns:a16="http://schemas.microsoft.com/office/drawing/2014/main" id="{52DFF2CA-D6FA-4B3D-A60A-60A26E6A275F}"/>
            </a:ext>
          </a:extLst>
        </xdr:cNvPr>
        <xdr:cNvSpPr/>
      </xdr:nvSpPr>
      <xdr:spPr>
        <a:xfrm>
          <a:off x="21870794" y="2037184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100</xdr:col>
      <xdr:colOff>54107</xdr:colOff>
      <xdr:row>12</xdr:row>
      <xdr:rowOff>147374</xdr:rowOff>
    </xdr:from>
    <xdr:ext cx="37664" cy="42986"/>
    <xdr:sp macro="" textlink="">
      <xdr:nvSpPr>
        <xdr:cNvPr id="374" name="楕円 373">
          <a:extLst>
            <a:ext uri="{FF2B5EF4-FFF2-40B4-BE49-F238E27FC236}">
              <a16:creationId xmlns:a16="http://schemas.microsoft.com/office/drawing/2014/main" id="{2D856EC8-5C05-4B14-8F23-196183B6B12D}"/>
            </a:ext>
          </a:extLst>
        </xdr:cNvPr>
        <xdr:cNvSpPr/>
      </xdr:nvSpPr>
      <xdr:spPr>
        <a:xfrm>
          <a:off x="21798321" y="292323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101</xdr:col>
      <xdr:colOff>30310</xdr:colOff>
      <xdr:row>9</xdr:row>
      <xdr:rowOff>118663</xdr:rowOff>
    </xdr:from>
    <xdr:ext cx="37664" cy="42986"/>
    <xdr:sp macro="" textlink="">
      <xdr:nvSpPr>
        <xdr:cNvPr id="378" name="楕円 377">
          <a:extLst>
            <a:ext uri="{FF2B5EF4-FFF2-40B4-BE49-F238E27FC236}">
              <a16:creationId xmlns:a16="http://schemas.microsoft.com/office/drawing/2014/main" id="{5AA458A1-2707-40B4-960A-81EB8D3DCA97}"/>
            </a:ext>
          </a:extLst>
        </xdr:cNvPr>
        <xdr:cNvSpPr/>
      </xdr:nvSpPr>
      <xdr:spPr>
        <a:xfrm>
          <a:off x="22005846" y="22005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100</xdr:col>
      <xdr:colOff>128313</xdr:colOff>
      <xdr:row>8</xdr:row>
      <xdr:rowOff>65336</xdr:rowOff>
    </xdr:from>
    <xdr:ext cx="0" cy="58666"/>
    <xdr:cxnSp macro="">
      <xdr:nvCxnSpPr>
        <xdr:cNvPr id="382" name="直線コネクタ 381">
          <a:extLst>
            <a:ext uri="{FF2B5EF4-FFF2-40B4-BE49-F238E27FC236}">
              <a16:creationId xmlns:a16="http://schemas.microsoft.com/office/drawing/2014/main" id="{27832940-C2F5-4A4A-BC87-B2414DE7E600}"/>
            </a:ext>
          </a:extLst>
        </xdr:cNvPr>
        <xdr:cNvCxnSpPr/>
      </xdr:nvCxnSpPr>
      <xdr:spPr>
        <a:xfrm>
          <a:off x="21872527" y="1915907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207657</xdr:colOff>
      <xdr:row>7</xdr:row>
      <xdr:rowOff>129681</xdr:rowOff>
    </xdr:from>
    <xdr:ext cx="444352" cy="224998"/>
    <xdr:sp macro="" textlink="$CI$11">
      <xdr:nvSpPr>
        <xdr:cNvPr id="387" name="テキスト ボックス 386">
          <a:extLst>
            <a:ext uri="{FF2B5EF4-FFF2-40B4-BE49-F238E27FC236}">
              <a16:creationId xmlns:a16="http://schemas.microsoft.com/office/drawing/2014/main" id="{01E4DBD1-7FB5-4A08-BFD2-1AA0A48A097F}"/>
            </a:ext>
          </a:extLst>
        </xdr:cNvPr>
        <xdr:cNvSpPr txBox="1"/>
      </xdr:nvSpPr>
      <xdr:spPr>
        <a:xfrm>
          <a:off x="22965489" y="17388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7623466-C1CC-48E9-A35C-E7ADF34D221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0.630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133978</xdr:colOff>
      <xdr:row>8</xdr:row>
      <xdr:rowOff>88241</xdr:rowOff>
    </xdr:from>
    <xdr:ext cx="203247" cy="0"/>
    <xdr:cxnSp macro="">
      <xdr:nvCxnSpPr>
        <xdr:cNvPr id="388" name="直線コネクタ 387">
          <a:extLst>
            <a:ext uri="{FF2B5EF4-FFF2-40B4-BE49-F238E27FC236}">
              <a16:creationId xmlns:a16="http://schemas.microsoft.com/office/drawing/2014/main" id="{DA78928A-6521-4A9A-B96C-31863B4EB3FF}"/>
            </a:ext>
          </a:extLst>
        </xdr:cNvPr>
        <xdr:cNvCxnSpPr/>
      </xdr:nvCxnSpPr>
      <xdr:spPr>
        <a:xfrm>
          <a:off x="23156106" y="1930011"/>
          <a:ext cx="20324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112285</xdr:colOff>
      <xdr:row>8</xdr:row>
      <xdr:rowOff>48933</xdr:rowOff>
    </xdr:from>
    <xdr:ext cx="0" cy="58666"/>
    <xdr:cxnSp macro="">
      <xdr:nvCxnSpPr>
        <xdr:cNvPr id="389" name="直線コネクタ 388">
          <a:extLst>
            <a:ext uri="{FF2B5EF4-FFF2-40B4-BE49-F238E27FC236}">
              <a16:creationId xmlns:a16="http://schemas.microsoft.com/office/drawing/2014/main" id="{8E4ED7C0-F913-4820-9DEB-81D4D3308BD6}"/>
            </a:ext>
          </a:extLst>
        </xdr:cNvPr>
        <xdr:cNvCxnSpPr/>
      </xdr:nvCxnSpPr>
      <xdr:spPr>
        <a:xfrm>
          <a:off x="23364634" y="189070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96889</xdr:colOff>
      <xdr:row>8</xdr:row>
      <xdr:rowOff>110656</xdr:rowOff>
    </xdr:from>
    <xdr:ext cx="37664" cy="42986"/>
    <xdr:sp macro="" textlink="">
      <xdr:nvSpPr>
        <xdr:cNvPr id="390" name="楕円 389">
          <a:extLst>
            <a:ext uri="{FF2B5EF4-FFF2-40B4-BE49-F238E27FC236}">
              <a16:creationId xmlns:a16="http://schemas.microsoft.com/office/drawing/2014/main" id="{1FE5672E-1313-4D3E-994F-94F36E2BAE90}"/>
            </a:ext>
          </a:extLst>
        </xdr:cNvPr>
        <xdr:cNvSpPr/>
      </xdr:nvSpPr>
      <xdr:spPr>
        <a:xfrm>
          <a:off x="23349238" y="195242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100</xdr:col>
      <xdr:colOff>154575</xdr:colOff>
      <xdr:row>11</xdr:row>
      <xdr:rowOff>13742</xdr:rowOff>
    </xdr:from>
    <xdr:ext cx="37664" cy="42986"/>
    <xdr:sp macro="" textlink="">
      <xdr:nvSpPr>
        <xdr:cNvPr id="392" name="楕円 391">
          <a:extLst>
            <a:ext uri="{FF2B5EF4-FFF2-40B4-BE49-F238E27FC236}">
              <a16:creationId xmlns:a16="http://schemas.microsoft.com/office/drawing/2014/main" id="{128CD417-A0F5-42B5-80A1-3D2BD2D08AC0}"/>
            </a:ext>
          </a:extLst>
        </xdr:cNvPr>
        <xdr:cNvSpPr/>
      </xdr:nvSpPr>
      <xdr:spPr>
        <a:xfrm>
          <a:off x="21898789" y="255827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103</xdr:col>
      <xdr:colOff>53883</xdr:colOff>
      <xdr:row>8</xdr:row>
      <xdr:rowOff>74346</xdr:rowOff>
    </xdr:from>
    <xdr:ext cx="0" cy="1344283"/>
    <xdr:cxnSp macro="">
      <xdr:nvCxnSpPr>
        <xdr:cNvPr id="398" name="直線コネクタ 397">
          <a:extLst>
            <a:ext uri="{FF2B5EF4-FFF2-40B4-BE49-F238E27FC236}">
              <a16:creationId xmlns:a16="http://schemas.microsoft.com/office/drawing/2014/main" id="{419CA704-EE5A-46C7-BF16-9A452A7F9C78}"/>
            </a:ext>
          </a:extLst>
        </xdr:cNvPr>
        <xdr:cNvCxnSpPr/>
      </xdr:nvCxnSpPr>
      <xdr:spPr>
        <a:xfrm>
          <a:off x="22492062" y="1924917"/>
          <a:ext cx="0" cy="134428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81465</xdr:colOff>
      <xdr:row>8</xdr:row>
      <xdr:rowOff>73137</xdr:rowOff>
    </xdr:from>
    <xdr:ext cx="1204695" cy="0"/>
    <xdr:cxnSp macro="">
      <xdr:nvCxnSpPr>
        <xdr:cNvPr id="399" name="直線コネクタ 398">
          <a:extLst>
            <a:ext uri="{FF2B5EF4-FFF2-40B4-BE49-F238E27FC236}">
              <a16:creationId xmlns:a16="http://schemas.microsoft.com/office/drawing/2014/main" id="{199F4CFE-CB37-4E1A-9D21-8F0D69FB3810}"/>
            </a:ext>
          </a:extLst>
        </xdr:cNvPr>
        <xdr:cNvCxnSpPr/>
      </xdr:nvCxnSpPr>
      <xdr:spPr>
        <a:xfrm>
          <a:off x="22873371" y="1914907"/>
          <a:ext cx="120469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103</xdr:col>
      <xdr:colOff>146594</xdr:colOff>
      <xdr:row>8</xdr:row>
      <xdr:rowOff>99979</xdr:rowOff>
    </xdr:from>
    <xdr:ext cx="170113" cy="0"/>
    <xdr:cxnSp macro="">
      <xdr:nvCxnSpPr>
        <xdr:cNvPr id="400" name="直線コネクタ 399">
          <a:extLst>
            <a:ext uri="{FF2B5EF4-FFF2-40B4-BE49-F238E27FC236}">
              <a16:creationId xmlns:a16="http://schemas.microsoft.com/office/drawing/2014/main" id="{ED49C8F4-5367-4610-894D-DBCCD8B965CB}"/>
            </a:ext>
          </a:extLst>
        </xdr:cNvPr>
        <xdr:cNvCxnSpPr/>
      </xdr:nvCxnSpPr>
      <xdr:spPr>
        <a:xfrm>
          <a:off x="22584773" y="1950550"/>
          <a:ext cx="170113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103</xdr:col>
      <xdr:colOff>210055</xdr:colOff>
      <xdr:row>8</xdr:row>
      <xdr:rowOff>151552</xdr:rowOff>
    </xdr:from>
    <xdr:ext cx="45500" cy="0"/>
    <xdr:cxnSp macro="">
      <xdr:nvCxnSpPr>
        <xdr:cNvPr id="401" name="直線コネクタ 400">
          <a:extLst>
            <a:ext uri="{FF2B5EF4-FFF2-40B4-BE49-F238E27FC236}">
              <a16:creationId xmlns:a16="http://schemas.microsoft.com/office/drawing/2014/main" id="{7F7AE975-AF60-4A23-88CD-D8CD66C2B99B}"/>
            </a:ext>
          </a:extLst>
        </xdr:cNvPr>
        <xdr:cNvCxnSpPr/>
      </xdr:nvCxnSpPr>
      <xdr:spPr>
        <a:xfrm>
          <a:off x="22648234" y="2002123"/>
          <a:ext cx="45500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103</xdr:col>
      <xdr:colOff>188665</xdr:colOff>
      <xdr:row>8</xdr:row>
      <xdr:rowOff>27643</xdr:rowOff>
    </xdr:from>
    <xdr:ext cx="84793" cy="45161"/>
    <xdr:sp macro="" textlink="">
      <xdr:nvSpPr>
        <xdr:cNvPr id="402" name="二等辺三角形 401">
          <a:extLst>
            <a:ext uri="{FF2B5EF4-FFF2-40B4-BE49-F238E27FC236}">
              <a16:creationId xmlns:a16="http://schemas.microsoft.com/office/drawing/2014/main" id="{06998E9E-61D5-4301-B2E2-7EDA2D35F076}"/>
            </a:ext>
          </a:extLst>
        </xdr:cNvPr>
        <xdr:cNvSpPr/>
      </xdr:nvSpPr>
      <xdr:spPr>
        <a:xfrm rot="10800000">
          <a:off x="22626844" y="1878214"/>
          <a:ext cx="84793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103</xdr:col>
      <xdr:colOff>39388</xdr:colOff>
      <xdr:row>10</xdr:row>
      <xdr:rowOff>169585</xdr:rowOff>
    </xdr:from>
    <xdr:ext cx="224998" cy="387607"/>
    <xdr:sp macro="" textlink="">
      <xdr:nvSpPr>
        <xdr:cNvPr id="403" name="テキスト ボックス 402">
          <a:extLst>
            <a:ext uri="{FF2B5EF4-FFF2-40B4-BE49-F238E27FC236}">
              <a16:creationId xmlns:a16="http://schemas.microsoft.com/office/drawing/2014/main" id="{03AE7C87-F2AA-41A3-A0BE-BBFEF0857933}"/>
            </a:ext>
          </a:extLst>
        </xdr:cNvPr>
        <xdr:cNvSpPr txBox="1"/>
      </xdr:nvSpPr>
      <xdr:spPr>
        <a:xfrm rot="16200000">
          <a:off x="22396262" y="2564104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103</xdr:col>
      <xdr:colOff>59200</xdr:colOff>
      <xdr:row>9</xdr:row>
      <xdr:rowOff>88172</xdr:rowOff>
    </xdr:from>
    <xdr:ext cx="224998" cy="444352"/>
    <xdr:sp macro="" textlink="'1.設計条件'!T37">
      <xdr:nvSpPr>
        <xdr:cNvPr id="404" name="テキスト ボックス 403">
          <a:extLst>
            <a:ext uri="{FF2B5EF4-FFF2-40B4-BE49-F238E27FC236}">
              <a16:creationId xmlns:a16="http://schemas.microsoft.com/office/drawing/2014/main" id="{C3431783-011E-4C79-B79B-2F56DA147580}"/>
            </a:ext>
          </a:extLst>
        </xdr:cNvPr>
        <xdr:cNvSpPr txBox="1"/>
      </xdr:nvSpPr>
      <xdr:spPr>
        <a:xfrm rot="16200000">
          <a:off x="22387702" y="227974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103</xdr:col>
      <xdr:colOff>179098</xdr:colOff>
      <xdr:row>8</xdr:row>
      <xdr:rowOff>126649</xdr:rowOff>
    </xdr:from>
    <xdr:ext cx="100969" cy="0"/>
    <xdr:cxnSp macro="">
      <xdr:nvCxnSpPr>
        <xdr:cNvPr id="405" name="直線コネクタ 404">
          <a:extLst>
            <a:ext uri="{FF2B5EF4-FFF2-40B4-BE49-F238E27FC236}">
              <a16:creationId xmlns:a16="http://schemas.microsoft.com/office/drawing/2014/main" id="{956DCA99-5F86-4288-B315-FE403B645CA2}"/>
            </a:ext>
          </a:extLst>
        </xdr:cNvPr>
        <xdr:cNvCxnSpPr/>
      </xdr:nvCxnSpPr>
      <xdr:spPr>
        <a:xfrm>
          <a:off x="22617277" y="1977220"/>
          <a:ext cx="10096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101</xdr:col>
      <xdr:colOff>208136</xdr:colOff>
      <xdr:row>14</xdr:row>
      <xdr:rowOff>28999</xdr:rowOff>
    </xdr:from>
    <xdr:ext cx="398248" cy="0"/>
    <xdr:cxnSp macro="">
      <xdr:nvCxnSpPr>
        <xdr:cNvPr id="406" name="直線コネクタ 405">
          <a:extLst>
            <a:ext uri="{FF2B5EF4-FFF2-40B4-BE49-F238E27FC236}">
              <a16:creationId xmlns:a16="http://schemas.microsoft.com/office/drawing/2014/main" id="{2083282E-E3FB-40F0-9F56-5442F73B8C5F}"/>
            </a:ext>
          </a:extLst>
        </xdr:cNvPr>
        <xdr:cNvCxnSpPr/>
      </xdr:nvCxnSpPr>
      <xdr:spPr>
        <a:xfrm>
          <a:off x="22183672" y="3267499"/>
          <a:ext cx="398248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216139</xdr:colOff>
      <xdr:row>4</xdr:row>
      <xdr:rowOff>101564</xdr:rowOff>
    </xdr:from>
    <xdr:ext cx="409788" cy="0"/>
    <xdr:cxnSp macro="">
      <xdr:nvCxnSpPr>
        <xdr:cNvPr id="407" name="直線コネクタ 406">
          <a:extLst>
            <a:ext uri="{FF2B5EF4-FFF2-40B4-BE49-F238E27FC236}">
              <a16:creationId xmlns:a16="http://schemas.microsoft.com/office/drawing/2014/main" id="{ACEE1213-2FB4-4DBE-ADF5-BE2C16FA6576}"/>
            </a:ext>
          </a:extLst>
        </xdr:cNvPr>
        <xdr:cNvCxnSpPr/>
      </xdr:nvCxnSpPr>
      <xdr:spPr>
        <a:xfrm>
          <a:off x="30287925" y="1026850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43611</xdr:colOff>
      <xdr:row>4</xdr:row>
      <xdr:rowOff>101564</xdr:rowOff>
    </xdr:from>
    <xdr:ext cx="581794" cy="2117999"/>
    <xdr:cxnSp macro="">
      <xdr:nvCxnSpPr>
        <xdr:cNvPr id="408" name="直線コネクタ 407">
          <a:extLst>
            <a:ext uri="{FF2B5EF4-FFF2-40B4-BE49-F238E27FC236}">
              <a16:creationId xmlns:a16="http://schemas.microsoft.com/office/drawing/2014/main" id="{ED0DCDF2-0557-4F58-B3DE-4D275F38F8B4}"/>
            </a:ext>
          </a:extLst>
        </xdr:cNvPr>
        <xdr:cNvCxnSpPr/>
      </xdr:nvCxnSpPr>
      <xdr:spPr>
        <a:xfrm flipH="1">
          <a:off x="30115397" y="1026850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83916</xdr:colOff>
      <xdr:row>4</xdr:row>
      <xdr:rowOff>101564</xdr:rowOff>
    </xdr:from>
    <xdr:ext cx="581036" cy="2115061"/>
    <xdr:cxnSp macro="">
      <xdr:nvCxnSpPr>
        <xdr:cNvPr id="409" name="直線コネクタ 408">
          <a:extLst>
            <a:ext uri="{FF2B5EF4-FFF2-40B4-BE49-F238E27FC236}">
              <a16:creationId xmlns:a16="http://schemas.microsoft.com/office/drawing/2014/main" id="{3863AFE5-0AC8-4286-837A-8B6C56F059AA}"/>
            </a:ext>
          </a:extLst>
        </xdr:cNvPr>
        <xdr:cNvCxnSpPr/>
      </xdr:nvCxnSpPr>
      <xdr:spPr>
        <a:xfrm flipH="1">
          <a:off x="29693059" y="1026850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49777</xdr:colOff>
      <xdr:row>13</xdr:row>
      <xdr:rowOff>162318</xdr:rowOff>
    </xdr:from>
    <xdr:ext cx="481788" cy="92843"/>
    <xdr:sp macro="" textlink="">
      <xdr:nvSpPr>
        <xdr:cNvPr id="410" name="正方形/長方形 409">
          <a:extLst>
            <a:ext uri="{FF2B5EF4-FFF2-40B4-BE49-F238E27FC236}">
              <a16:creationId xmlns:a16="http://schemas.microsoft.com/office/drawing/2014/main" id="{E3E34572-E650-4D6A-8325-988BE0FE7A3E}"/>
            </a:ext>
          </a:extLst>
        </xdr:cNvPr>
        <xdr:cNvSpPr/>
      </xdr:nvSpPr>
      <xdr:spPr>
        <a:xfrm>
          <a:off x="29658920" y="316949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135</xdr:col>
      <xdr:colOff>171450</xdr:colOff>
      <xdr:row>4</xdr:row>
      <xdr:rowOff>190264</xdr:rowOff>
    </xdr:from>
    <xdr:ext cx="547258" cy="2021589"/>
    <xdr:cxnSp macro="">
      <xdr:nvCxnSpPr>
        <xdr:cNvPr id="411" name="直線コネクタ 410">
          <a:extLst>
            <a:ext uri="{FF2B5EF4-FFF2-40B4-BE49-F238E27FC236}">
              <a16:creationId xmlns:a16="http://schemas.microsoft.com/office/drawing/2014/main" id="{A326CB65-FDEB-42D3-B627-4CA7295086A2}"/>
            </a:ext>
          </a:extLst>
        </xdr:cNvPr>
        <xdr:cNvCxnSpPr/>
      </xdr:nvCxnSpPr>
      <xdr:spPr>
        <a:xfrm flipH="1">
          <a:off x="30011914" y="1115550"/>
          <a:ext cx="547258" cy="202158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186681</xdr:colOff>
      <xdr:row>11</xdr:row>
      <xdr:rowOff>218921</xdr:rowOff>
    </xdr:from>
    <xdr:ext cx="312805" cy="0"/>
    <xdr:cxnSp macro="">
      <xdr:nvCxnSpPr>
        <xdr:cNvPr id="412" name="直線コネクタ 411">
          <a:extLst>
            <a:ext uri="{FF2B5EF4-FFF2-40B4-BE49-F238E27FC236}">
              <a16:creationId xmlns:a16="http://schemas.microsoft.com/office/drawing/2014/main" id="{DC97AAB7-96C9-4F82-89D3-32017E8D2FEC}"/>
            </a:ext>
          </a:extLst>
        </xdr:cNvPr>
        <xdr:cNvCxnSpPr/>
      </xdr:nvCxnSpPr>
      <xdr:spPr>
        <a:xfrm>
          <a:off x="29795824" y="276345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39063</xdr:colOff>
      <xdr:row>10</xdr:row>
      <xdr:rowOff>98907</xdr:rowOff>
    </xdr:from>
    <xdr:ext cx="319700" cy="0"/>
    <xdr:cxnSp macro="">
      <xdr:nvCxnSpPr>
        <xdr:cNvPr id="413" name="直線コネクタ 412">
          <a:extLst>
            <a:ext uri="{FF2B5EF4-FFF2-40B4-BE49-F238E27FC236}">
              <a16:creationId xmlns:a16="http://schemas.microsoft.com/office/drawing/2014/main" id="{819F7884-197E-49EA-BE70-9033787E860E}"/>
            </a:ext>
          </a:extLst>
        </xdr:cNvPr>
        <xdr:cNvCxnSpPr/>
      </xdr:nvCxnSpPr>
      <xdr:spPr>
        <a:xfrm>
          <a:off x="29879527" y="2412121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141752</xdr:colOff>
      <xdr:row>8</xdr:row>
      <xdr:rowOff>205043</xdr:rowOff>
    </xdr:from>
    <xdr:ext cx="312806" cy="0"/>
    <xdr:cxnSp macro="">
      <xdr:nvCxnSpPr>
        <xdr:cNvPr id="414" name="直線コネクタ 413">
          <a:extLst>
            <a:ext uri="{FF2B5EF4-FFF2-40B4-BE49-F238E27FC236}">
              <a16:creationId xmlns:a16="http://schemas.microsoft.com/office/drawing/2014/main" id="{6A03EAA7-9C21-4CAB-92D7-C9FB77F05C66}"/>
            </a:ext>
          </a:extLst>
        </xdr:cNvPr>
        <xdr:cNvCxnSpPr/>
      </xdr:nvCxnSpPr>
      <xdr:spPr>
        <a:xfrm>
          <a:off x="29982216" y="2055614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17655</xdr:colOff>
      <xdr:row>7</xdr:row>
      <xdr:rowOff>74140</xdr:rowOff>
    </xdr:from>
    <xdr:ext cx="310084" cy="0"/>
    <xdr:cxnSp macro="">
      <xdr:nvCxnSpPr>
        <xdr:cNvPr id="415" name="直線コネクタ 414">
          <a:extLst>
            <a:ext uri="{FF2B5EF4-FFF2-40B4-BE49-F238E27FC236}">
              <a16:creationId xmlns:a16="http://schemas.microsoft.com/office/drawing/2014/main" id="{49710F5E-5FB0-4E5B-AD18-1ED6EB9093E4}"/>
            </a:ext>
          </a:extLst>
        </xdr:cNvPr>
        <xdr:cNvCxnSpPr/>
      </xdr:nvCxnSpPr>
      <xdr:spPr>
        <a:xfrm>
          <a:off x="30089441" y="1693390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121681</xdr:colOff>
      <xdr:row>5</xdr:row>
      <xdr:rowOff>160682</xdr:rowOff>
    </xdr:from>
    <xdr:ext cx="312805" cy="0"/>
    <xdr:cxnSp macro="">
      <xdr:nvCxnSpPr>
        <xdr:cNvPr id="416" name="直線コネクタ 415">
          <a:extLst>
            <a:ext uri="{FF2B5EF4-FFF2-40B4-BE49-F238E27FC236}">
              <a16:creationId xmlns:a16="http://schemas.microsoft.com/office/drawing/2014/main" id="{AE4C1831-4812-431C-A42B-B2AC481F9E38}"/>
            </a:ext>
          </a:extLst>
        </xdr:cNvPr>
        <xdr:cNvCxnSpPr/>
      </xdr:nvCxnSpPr>
      <xdr:spPr>
        <a:xfrm>
          <a:off x="30193467" y="1317289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172186</xdr:colOff>
      <xdr:row>4</xdr:row>
      <xdr:rowOff>184765</xdr:rowOff>
    </xdr:from>
    <xdr:ext cx="426244" cy="0"/>
    <xdr:cxnSp macro="">
      <xdr:nvCxnSpPr>
        <xdr:cNvPr id="417" name="直線コネクタ 416">
          <a:extLst>
            <a:ext uri="{FF2B5EF4-FFF2-40B4-BE49-F238E27FC236}">
              <a16:creationId xmlns:a16="http://schemas.microsoft.com/office/drawing/2014/main" id="{FBB0CA5F-B50E-4CA2-B68D-2AFF7B1FBF61}"/>
            </a:ext>
          </a:extLst>
        </xdr:cNvPr>
        <xdr:cNvCxnSpPr/>
      </xdr:nvCxnSpPr>
      <xdr:spPr>
        <a:xfrm>
          <a:off x="30243972" y="111005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43883</xdr:colOff>
      <xdr:row>10</xdr:row>
      <xdr:rowOff>65096</xdr:rowOff>
    </xdr:from>
    <xdr:ext cx="37664" cy="42986"/>
    <xdr:sp macro="" textlink="">
      <xdr:nvSpPr>
        <xdr:cNvPr id="418" name="楕円 417">
          <a:extLst>
            <a:ext uri="{FF2B5EF4-FFF2-40B4-BE49-F238E27FC236}">
              <a16:creationId xmlns:a16="http://schemas.microsoft.com/office/drawing/2014/main" id="{3A010C0A-F2DC-44BF-9E4A-1C43C0A2FFA9}"/>
            </a:ext>
          </a:extLst>
        </xdr:cNvPr>
        <xdr:cNvSpPr/>
      </xdr:nvSpPr>
      <xdr:spPr>
        <a:xfrm>
          <a:off x="31077291" y="236386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135</xdr:col>
      <xdr:colOff>54107</xdr:colOff>
      <xdr:row>12</xdr:row>
      <xdr:rowOff>147374</xdr:rowOff>
    </xdr:from>
    <xdr:ext cx="37664" cy="42986"/>
    <xdr:sp macro="" textlink="">
      <xdr:nvSpPr>
        <xdr:cNvPr id="419" name="楕円 418">
          <a:extLst>
            <a:ext uri="{FF2B5EF4-FFF2-40B4-BE49-F238E27FC236}">
              <a16:creationId xmlns:a16="http://schemas.microsoft.com/office/drawing/2014/main" id="{907AB37C-1126-4DB9-8A4D-07C29AA83DAB}"/>
            </a:ext>
          </a:extLst>
        </xdr:cNvPr>
        <xdr:cNvSpPr/>
      </xdr:nvSpPr>
      <xdr:spPr>
        <a:xfrm>
          <a:off x="29894571" y="292323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134</xdr:col>
      <xdr:colOff>814</xdr:colOff>
      <xdr:row>8</xdr:row>
      <xdr:rowOff>52745</xdr:rowOff>
    </xdr:from>
    <xdr:ext cx="444352" cy="224998"/>
    <xdr:sp macro="" textlink="$DI$11">
      <xdr:nvSpPr>
        <xdr:cNvPr id="420" name="テキスト ボックス 419">
          <a:extLst>
            <a:ext uri="{FF2B5EF4-FFF2-40B4-BE49-F238E27FC236}">
              <a16:creationId xmlns:a16="http://schemas.microsoft.com/office/drawing/2014/main" id="{7EBB0B64-DAA8-4521-8C4F-E8CD389823F1}"/>
            </a:ext>
          </a:extLst>
        </xdr:cNvPr>
        <xdr:cNvSpPr txBox="1"/>
      </xdr:nvSpPr>
      <xdr:spPr>
        <a:xfrm>
          <a:off x="30804345" y="189176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5F681B9-4483-4D7D-9F2E-72038B7ACEEA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135</xdr:col>
      <xdr:colOff>34323</xdr:colOff>
      <xdr:row>8</xdr:row>
      <xdr:rowOff>93084</xdr:rowOff>
    </xdr:from>
    <xdr:ext cx="100437" cy="0"/>
    <xdr:cxnSp macro="">
      <xdr:nvCxnSpPr>
        <xdr:cNvPr id="421" name="直線コネクタ 420">
          <a:extLst>
            <a:ext uri="{FF2B5EF4-FFF2-40B4-BE49-F238E27FC236}">
              <a16:creationId xmlns:a16="http://schemas.microsoft.com/office/drawing/2014/main" id="{CAE5931D-AE4E-4C83-9DA7-1669D39BF8CF}"/>
            </a:ext>
          </a:extLst>
        </xdr:cNvPr>
        <xdr:cNvCxnSpPr/>
      </xdr:nvCxnSpPr>
      <xdr:spPr>
        <a:xfrm>
          <a:off x="29874787" y="1943655"/>
          <a:ext cx="10043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23374</xdr:colOff>
      <xdr:row>8</xdr:row>
      <xdr:rowOff>62448</xdr:rowOff>
    </xdr:from>
    <xdr:ext cx="0" cy="218955"/>
    <xdr:cxnSp macro="">
      <xdr:nvCxnSpPr>
        <xdr:cNvPr id="422" name="直線コネクタ 421">
          <a:extLst>
            <a:ext uri="{FF2B5EF4-FFF2-40B4-BE49-F238E27FC236}">
              <a16:creationId xmlns:a16="http://schemas.microsoft.com/office/drawing/2014/main" id="{E6620152-85C9-4F2C-8F38-245851BBE8EF}"/>
            </a:ext>
          </a:extLst>
        </xdr:cNvPr>
        <xdr:cNvCxnSpPr/>
      </xdr:nvCxnSpPr>
      <xdr:spPr>
        <a:xfrm>
          <a:off x="29863838" y="1913019"/>
          <a:ext cx="0" cy="218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30310</xdr:colOff>
      <xdr:row>9</xdr:row>
      <xdr:rowOff>118663</xdr:rowOff>
    </xdr:from>
    <xdr:ext cx="37664" cy="42986"/>
    <xdr:sp macro="" textlink="">
      <xdr:nvSpPr>
        <xdr:cNvPr id="423" name="楕円 422">
          <a:extLst>
            <a:ext uri="{FF2B5EF4-FFF2-40B4-BE49-F238E27FC236}">
              <a16:creationId xmlns:a16="http://schemas.microsoft.com/office/drawing/2014/main" id="{859D9EC9-77F3-4B38-B69B-EB56FDF0A0CA}"/>
            </a:ext>
          </a:extLst>
        </xdr:cNvPr>
        <xdr:cNvSpPr/>
      </xdr:nvSpPr>
      <xdr:spPr>
        <a:xfrm>
          <a:off x="30102096" y="22005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135</xdr:col>
      <xdr:colOff>23977</xdr:colOff>
      <xdr:row>9</xdr:row>
      <xdr:rowOff>183408</xdr:rowOff>
    </xdr:from>
    <xdr:ext cx="0" cy="70194"/>
    <xdr:cxnSp macro="">
      <xdr:nvCxnSpPr>
        <xdr:cNvPr id="426" name="直線コネクタ 425">
          <a:extLst>
            <a:ext uri="{FF2B5EF4-FFF2-40B4-BE49-F238E27FC236}">
              <a16:creationId xmlns:a16="http://schemas.microsoft.com/office/drawing/2014/main" id="{6F87F5D9-CFB1-4EB1-8A48-DD389D91C71C}"/>
            </a:ext>
          </a:extLst>
        </xdr:cNvPr>
        <xdr:cNvCxnSpPr/>
      </xdr:nvCxnSpPr>
      <xdr:spPr>
        <a:xfrm>
          <a:off x="29864441" y="2265301"/>
          <a:ext cx="0" cy="701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128313</xdr:colOff>
      <xdr:row>8</xdr:row>
      <xdr:rowOff>65336</xdr:rowOff>
    </xdr:from>
    <xdr:ext cx="0" cy="58666"/>
    <xdr:cxnSp macro="">
      <xdr:nvCxnSpPr>
        <xdr:cNvPr id="430" name="直線コネクタ 429">
          <a:extLst>
            <a:ext uri="{FF2B5EF4-FFF2-40B4-BE49-F238E27FC236}">
              <a16:creationId xmlns:a16="http://schemas.microsoft.com/office/drawing/2014/main" id="{15F6563E-743E-49F6-B1D3-98E119042D4C}"/>
            </a:ext>
          </a:extLst>
        </xdr:cNvPr>
        <xdr:cNvCxnSpPr/>
      </xdr:nvCxnSpPr>
      <xdr:spPr>
        <a:xfrm>
          <a:off x="29968777" y="1915907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29642</xdr:colOff>
      <xdr:row>9</xdr:row>
      <xdr:rowOff>203966</xdr:rowOff>
    </xdr:from>
    <xdr:ext cx="240324" cy="0"/>
    <xdr:cxnSp macro="">
      <xdr:nvCxnSpPr>
        <xdr:cNvPr id="436" name="直線コネクタ 435">
          <a:extLst>
            <a:ext uri="{FF2B5EF4-FFF2-40B4-BE49-F238E27FC236}">
              <a16:creationId xmlns:a16="http://schemas.microsoft.com/office/drawing/2014/main" id="{C10C8312-CB7F-433F-8A45-A021BC89FDFA}"/>
            </a:ext>
          </a:extLst>
        </xdr:cNvPr>
        <xdr:cNvCxnSpPr/>
      </xdr:nvCxnSpPr>
      <xdr:spPr>
        <a:xfrm>
          <a:off x="29870106" y="2285859"/>
          <a:ext cx="24032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45080</xdr:colOff>
      <xdr:row>9</xdr:row>
      <xdr:rowOff>174036</xdr:rowOff>
    </xdr:from>
    <xdr:ext cx="0" cy="57494"/>
    <xdr:cxnSp macro="">
      <xdr:nvCxnSpPr>
        <xdr:cNvPr id="437" name="直線コネクタ 436">
          <a:extLst>
            <a:ext uri="{FF2B5EF4-FFF2-40B4-BE49-F238E27FC236}">
              <a16:creationId xmlns:a16="http://schemas.microsoft.com/office/drawing/2014/main" id="{CE697119-B615-44E3-AD0B-6B197ECF8469}"/>
            </a:ext>
          </a:extLst>
        </xdr:cNvPr>
        <xdr:cNvCxnSpPr/>
      </xdr:nvCxnSpPr>
      <xdr:spPr>
        <a:xfrm>
          <a:off x="30116866" y="2255929"/>
          <a:ext cx="0" cy="574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217018</xdr:colOff>
      <xdr:row>7</xdr:row>
      <xdr:rowOff>102711</xdr:rowOff>
    </xdr:from>
    <xdr:ext cx="444352" cy="224998"/>
    <xdr:sp macro="" textlink="$DU$11">
      <xdr:nvSpPr>
        <xdr:cNvPr id="438" name="テキスト ボックス 437">
          <a:extLst>
            <a:ext uri="{FF2B5EF4-FFF2-40B4-BE49-F238E27FC236}">
              <a16:creationId xmlns:a16="http://schemas.microsoft.com/office/drawing/2014/main" id="{572BD100-19F2-4D07-8A8B-70CA095DC379}"/>
            </a:ext>
          </a:extLst>
        </xdr:cNvPr>
        <xdr:cNvSpPr txBox="1"/>
      </xdr:nvSpPr>
      <xdr:spPr>
        <a:xfrm>
          <a:off x="31020549" y="171185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7B03F8A-F4D8-46FE-8151-48C26935375B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1.030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135</xdr:col>
      <xdr:colOff>133978</xdr:colOff>
      <xdr:row>8</xdr:row>
      <xdr:rowOff>94727</xdr:rowOff>
    </xdr:from>
    <xdr:ext cx="200005" cy="0"/>
    <xdr:cxnSp macro="">
      <xdr:nvCxnSpPr>
        <xdr:cNvPr id="439" name="直線コネクタ 438">
          <a:extLst>
            <a:ext uri="{FF2B5EF4-FFF2-40B4-BE49-F238E27FC236}">
              <a16:creationId xmlns:a16="http://schemas.microsoft.com/office/drawing/2014/main" id="{1BD07BA5-0E7D-4B76-9318-903611E82015}"/>
            </a:ext>
          </a:extLst>
        </xdr:cNvPr>
        <xdr:cNvCxnSpPr/>
      </xdr:nvCxnSpPr>
      <xdr:spPr>
        <a:xfrm>
          <a:off x="31213850" y="1936497"/>
          <a:ext cx="20000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112285</xdr:colOff>
      <xdr:row>8</xdr:row>
      <xdr:rowOff>48933</xdr:rowOff>
    </xdr:from>
    <xdr:ext cx="0" cy="58666"/>
    <xdr:cxnSp macro="">
      <xdr:nvCxnSpPr>
        <xdr:cNvPr id="440" name="直線コネクタ 439">
          <a:extLst>
            <a:ext uri="{FF2B5EF4-FFF2-40B4-BE49-F238E27FC236}">
              <a16:creationId xmlns:a16="http://schemas.microsoft.com/office/drawing/2014/main" id="{7CF787A3-CA58-4536-8F1C-AA4BD15A11BA}"/>
            </a:ext>
          </a:extLst>
        </xdr:cNvPr>
        <xdr:cNvCxnSpPr/>
      </xdr:nvCxnSpPr>
      <xdr:spPr>
        <a:xfrm>
          <a:off x="31422379" y="189070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102155</xdr:colOff>
      <xdr:row>9</xdr:row>
      <xdr:rowOff>20065</xdr:rowOff>
    </xdr:from>
    <xdr:ext cx="444352" cy="224998"/>
    <xdr:sp macro="" textlink="$DR$12">
      <xdr:nvSpPr>
        <xdr:cNvPr id="441" name="テキスト ボックス 440">
          <a:extLst>
            <a:ext uri="{FF2B5EF4-FFF2-40B4-BE49-F238E27FC236}">
              <a16:creationId xmlns:a16="http://schemas.microsoft.com/office/drawing/2014/main" id="{FD2D968C-FEE0-47F9-9B67-9B04D76AC917}"/>
            </a:ext>
          </a:extLst>
        </xdr:cNvPr>
        <xdr:cNvSpPr txBox="1"/>
      </xdr:nvSpPr>
      <xdr:spPr>
        <a:xfrm>
          <a:off x="30905686" y="208895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0C8E9B-7234-465E-BFD0-0FBDBAE0723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136</xdr:col>
      <xdr:colOff>97800</xdr:colOff>
      <xdr:row>8</xdr:row>
      <xdr:rowOff>115419</xdr:rowOff>
    </xdr:from>
    <xdr:ext cx="37664" cy="42986"/>
    <xdr:sp macro="" textlink="">
      <xdr:nvSpPr>
        <xdr:cNvPr id="442" name="楕円 441">
          <a:extLst>
            <a:ext uri="{FF2B5EF4-FFF2-40B4-BE49-F238E27FC236}">
              <a16:creationId xmlns:a16="http://schemas.microsoft.com/office/drawing/2014/main" id="{63EE6A38-5F24-4B24-835C-F86486956DDB}"/>
            </a:ext>
          </a:extLst>
        </xdr:cNvPr>
        <xdr:cNvSpPr/>
      </xdr:nvSpPr>
      <xdr:spPr>
        <a:xfrm>
          <a:off x="31407894" y="195718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135</xdr:col>
      <xdr:colOff>154575</xdr:colOff>
      <xdr:row>11</xdr:row>
      <xdr:rowOff>13742</xdr:rowOff>
    </xdr:from>
    <xdr:ext cx="37664" cy="42986"/>
    <xdr:sp macro="" textlink="">
      <xdr:nvSpPr>
        <xdr:cNvPr id="444" name="楕円 443">
          <a:extLst>
            <a:ext uri="{FF2B5EF4-FFF2-40B4-BE49-F238E27FC236}">
              <a16:creationId xmlns:a16="http://schemas.microsoft.com/office/drawing/2014/main" id="{7BE8E9E3-9E98-4E1C-9404-DFD757E6164A}"/>
            </a:ext>
          </a:extLst>
        </xdr:cNvPr>
        <xdr:cNvSpPr/>
      </xdr:nvSpPr>
      <xdr:spPr>
        <a:xfrm>
          <a:off x="29995039" y="255827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138</xdr:col>
      <xdr:colOff>42678</xdr:colOff>
      <xdr:row>8</xdr:row>
      <xdr:rowOff>68631</xdr:rowOff>
    </xdr:from>
    <xdr:ext cx="0" cy="1348329"/>
    <xdr:cxnSp macro="">
      <xdr:nvCxnSpPr>
        <xdr:cNvPr id="450" name="直線コネクタ 449">
          <a:extLst>
            <a:ext uri="{FF2B5EF4-FFF2-40B4-BE49-F238E27FC236}">
              <a16:creationId xmlns:a16="http://schemas.microsoft.com/office/drawing/2014/main" id="{572A4944-2CD9-411E-9E88-35B6B91723EA}"/>
            </a:ext>
          </a:extLst>
        </xdr:cNvPr>
        <xdr:cNvCxnSpPr/>
      </xdr:nvCxnSpPr>
      <xdr:spPr>
        <a:xfrm>
          <a:off x="30577107" y="1919202"/>
          <a:ext cx="0" cy="134832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67017</xdr:colOff>
      <xdr:row>8</xdr:row>
      <xdr:rowOff>67422</xdr:rowOff>
    </xdr:from>
    <xdr:ext cx="1204695" cy="0"/>
    <xdr:cxnSp macro="">
      <xdr:nvCxnSpPr>
        <xdr:cNvPr id="451" name="直線コネクタ 450">
          <a:extLst>
            <a:ext uri="{FF2B5EF4-FFF2-40B4-BE49-F238E27FC236}">
              <a16:creationId xmlns:a16="http://schemas.microsoft.com/office/drawing/2014/main" id="{E866B1A5-2A22-449C-B20C-58BF977D23CD}"/>
            </a:ext>
          </a:extLst>
        </xdr:cNvPr>
        <xdr:cNvCxnSpPr/>
      </xdr:nvCxnSpPr>
      <xdr:spPr>
        <a:xfrm>
          <a:off x="30916668" y="1909192"/>
          <a:ext cx="1204695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138</xdr:col>
      <xdr:colOff>135389</xdr:colOff>
      <xdr:row>8</xdr:row>
      <xdr:rowOff>94264</xdr:rowOff>
    </xdr:from>
    <xdr:ext cx="170112" cy="0"/>
    <xdr:cxnSp macro="">
      <xdr:nvCxnSpPr>
        <xdr:cNvPr id="452" name="直線コネクタ 451">
          <a:extLst>
            <a:ext uri="{FF2B5EF4-FFF2-40B4-BE49-F238E27FC236}">
              <a16:creationId xmlns:a16="http://schemas.microsoft.com/office/drawing/2014/main" id="{91BE5B60-F1BE-4F4E-BBFE-DE1827FA1005}"/>
            </a:ext>
          </a:extLst>
        </xdr:cNvPr>
        <xdr:cNvCxnSpPr/>
      </xdr:nvCxnSpPr>
      <xdr:spPr>
        <a:xfrm>
          <a:off x="30669818" y="1944835"/>
          <a:ext cx="17011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138</xdr:col>
      <xdr:colOff>198850</xdr:colOff>
      <xdr:row>8</xdr:row>
      <xdr:rowOff>145837</xdr:rowOff>
    </xdr:from>
    <xdr:ext cx="45499" cy="0"/>
    <xdr:cxnSp macro="">
      <xdr:nvCxnSpPr>
        <xdr:cNvPr id="453" name="直線コネクタ 452">
          <a:extLst>
            <a:ext uri="{FF2B5EF4-FFF2-40B4-BE49-F238E27FC236}">
              <a16:creationId xmlns:a16="http://schemas.microsoft.com/office/drawing/2014/main" id="{1AAAA9C0-3099-4C4A-B89E-8926C59A1FF3}"/>
            </a:ext>
          </a:extLst>
        </xdr:cNvPr>
        <xdr:cNvCxnSpPr/>
      </xdr:nvCxnSpPr>
      <xdr:spPr>
        <a:xfrm>
          <a:off x="30733279" y="1996408"/>
          <a:ext cx="4549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138</xdr:col>
      <xdr:colOff>177460</xdr:colOff>
      <xdr:row>8</xdr:row>
      <xdr:rowOff>21928</xdr:rowOff>
    </xdr:from>
    <xdr:ext cx="84792" cy="45161"/>
    <xdr:sp macro="" textlink="">
      <xdr:nvSpPr>
        <xdr:cNvPr id="454" name="二等辺三角形 453">
          <a:extLst>
            <a:ext uri="{FF2B5EF4-FFF2-40B4-BE49-F238E27FC236}">
              <a16:creationId xmlns:a16="http://schemas.microsoft.com/office/drawing/2014/main" id="{8664D17D-8ACF-4544-B288-362A24E24B71}"/>
            </a:ext>
          </a:extLst>
        </xdr:cNvPr>
        <xdr:cNvSpPr/>
      </xdr:nvSpPr>
      <xdr:spPr>
        <a:xfrm rot="10800000">
          <a:off x="30711889" y="1872499"/>
          <a:ext cx="8479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138</xdr:col>
      <xdr:colOff>28183</xdr:colOff>
      <xdr:row>10</xdr:row>
      <xdr:rowOff>163870</xdr:rowOff>
    </xdr:from>
    <xdr:ext cx="224998" cy="387607"/>
    <xdr:sp macro="" textlink="">
      <xdr:nvSpPr>
        <xdr:cNvPr id="455" name="テキスト ボックス 454">
          <a:extLst>
            <a:ext uri="{FF2B5EF4-FFF2-40B4-BE49-F238E27FC236}">
              <a16:creationId xmlns:a16="http://schemas.microsoft.com/office/drawing/2014/main" id="{D79C2F7A-550E-42D7-9425-CBAB9B7B97C5}"/>
            </a:ext>
          </a:extLst>
        </xdr:cNvPr>
        <xdr:cNvSpPr txBox="1"/>
      </xdr:nvSpPr>
      <xdr:spPr>
        <a:xfrm rot="16200000">
          <a:off x="30481307" y="255838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138</xdr:col>
      <xdr:colOff>47995</xdr:colOff>
      <xdr:row>9</xdr:row>
      <xdr:rowOff>82457</xdr:rowOff>
    </xdr:from>
    <xdr:ext cx="224998" cy="444352"/>
    <xdr:sp macro="" textlink="'1.設計条件'!T37">
      <xdr:nvSpPr>
        <xdr:cNvPr id="456" name="テキスト ボックス 455">
          <a:extLst>
            <a:ext uri="{FF2B5EF4-FFF2-40B4-BE49-F238E27FC236}">
              <a16:creationId xmlns:a16="http://schemas.microsoft.com/office/drawing/2014/main" id="{4143D5E6-8625-4066-AA61-25583548FE71}"/>
            </a:ext>
          </a:extLst>
        </xdr:cNvPr>
        <xdr:cNvSpPr txBox="1"/>
      </xdr:nvSpPr>
      <xdr:spPr>
        <a:xfrm rot="16200000">
          <a:off x="30472747" y="22740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138</xdr:col>
      <xdr:colOff>167893</xdr:colOff>
      <xdr:row>8</xdr:row>
      <xdr:rowOff>120934</xdr:rowOff>
    </xdr:from>
    <xdr:ext cx="100968" cy="0"/>
    <xdr:cxnSp macro="">
      <xdr:nvCxnSpPr>
        <xdr:cNvPr id="457" name="直線コネクタ 456">
          <a:extLst>
            <a:ext uri="{FF2B5EF4-FFF2-40B4-BE49-F238E27FC236}">
              <a16:creationId xmlns:a16="http://schemas.microsoft.com/office/drawing/2014/main" id="{8F2921D2-686E-4935-A02E-2433EDE84BC0}"/>
            </a:ext>
          </a:extLst>
        </xdr:cNvPr>
        <xdr:cNvCxnSpPr/>
      </xdr:nvCxnSpPr>
      <xdr:spPr>
        <a:xfrm>
          <a:off x="30702322" y="1971505"/>
          <a:ext cx="10096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136</xdr:col>
      <xdr:colOff>196930</xdr:colOff>
      <xdr:row>14</xdr:row>
      <xdr:rowOff>28999</xdr:rowOff>
    </xdr:from>
    <xdr:ext cx="398249" cy="0"/>
    <xdr:cxnSp macro="">
      <xdr:nvCxnSpPr>
        <xdr:cNvPr id="458" name="直線コネクタ 457">
          <a:extLst>
            <a:ext uri="{FF2B5EF4-FFF2-40B4-BE49-F238E27FC236}">
              <a16:creationId xmlns:a16="http://schemas.microsoft.com/office/drawing/2014/main" id="{05CC5EBE-4B14-4384-82D2-2C009EB3CBF6}"/>
            </a:ext>
          </a:extLst>
        </xdr:cNvPr>
        <xdr:cNvCxnSpPr/>
      </xdr:nvCxnSpPr>
      <xdr:spPr>
        <a:xfrm>
          <a:off x="30268716" y="3267499"/>
          <a:ext cx="39824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172</xdr:col>
      <xdr:colOff>18837</xdr:colOff>
      <xdr:row>4</xdr:row>
      <xdr:rowOff>101564</xdr:rowOff>
    </xdr:from>
    <xdr:ext cx="415231" cy="0"/>
    <xdr:cxnSp macro="">
      <xdr:nvCxnSpPr>
        <xdr:cNvPr id="459" name="直線コネクタ 458">
          <a:extLst>
            <a:ext uri="{FF2B5EF4-FFF2-40B4-BE49-F238E27FC236}">
              <a16:creationId xmlns:a16="http://schemas.microsoft.com/office/drawing/2014/main" id="{3CA07E25-1A6E-499C-8006-F93F66C019A8}"/>
            </a:ext>
          </a:extLst>
        </xdr:cNvPr>
        <xdr:cNvCxnSpPr/>
      </xdr:nvCxnSpPr>
      <xdr:spPr>
        <a:xfrm>
          <a:off x="39806123" y="1026850"/>
          <a:ext cx="41523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43933</xdr:colOff>
      <xdr:row>4</xdr:row>
      <xdr:rowOff>101564</xdr:rowOff>
    </xdr:from>
    <xdr:ext cx="620935" cy="2144519"/>
    <xdr:cxnSp macro="">
      <xdr:nvCxnSpPr>
        <xdr:cNvPr id="460" name="直線コネクタ 459">
          <a:extLst>
            <a:ext uri="{FF2B5EF4-FFF2-40B4-BE49-F238E27FC236}">
              <a16:creationId xmlns:a16="http://schemas.microsoft.com/office/drawing/2014/main" id="{57F7DB24-629E-43DF-8A91-EBEC183B935D}"/>
            </a:ext>
          </a:extLst>
        </xdr:cNvPr>
        <xdr:cNvCxnSpPr/>
      </xdr:nvCxnSpPr>
      <xdr:spPr>
        <a:xfrm flipH="1">
          <a:off x="39599897" y="1026850"/>
          <a:ext cx="620935" cy="214451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84137</xdr:colOff>
      <xdr:row>4</xdr:row>
      <xdr:rowOff>101564</xdr:rowOff>
    </xdr:from>
    <xdr:ext cx="622183" cy="2148873"/>
    <xdr:cxnSp macro="">
      <xdr:nvCxnSpPr>
        <xdr:cNvPr id="461" name="直線コネクタ 460">
          <a:extLst>
            <a:ext uri="{FF2B5EF4-FFF2-40B4-BE49-F238E27FC236}">
              <a16:creationId xmlns:a16="http://schemas.microsoft.com/office/drawing/2014/main" id="{A10A4DDF-16AD-40C4-8F16-4F99C1BE85FD}"/>
            </a:ext>
          </a:extLst>
        </xdr:cNvPr>
        <xdr:cNvCxnSpPr/>
      </xdr:nvCxnSpPr>
      <xdr:spPr>
        <a:xfrm flipH="1">
          <a:off x="39177458" y="1026850"/>
          <a:ext cx="622183" cy="214887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52099</xdr:colOff>
      <xdr:row>13</xdr:row>
      <xdr:rowOff>162318</xdr:rowOff>
    </xdr:from>
    <xdr:ext cx="487231" cy="96494"/>
    <xdr:sp macro="" textlink="">
      <xdr:nvSpPr>
        <xdr:cNvPr id="462" name="正方形/長方形 461">
          <a:extLst>
            <a:ext uri="{FF2B5EF4-FFF2-40B4-BE49-F238E27FC236}">
              <a16:creationId xmlns:a16="http://schemas.microsoft.com/office/drawing/2014/main" id="{5D7A79DD-53A7-45D2-9638-DEC80F129809}"/>
            </a:ext>
          </a:extLst>
        </xdr:cNvPr>
        <xdr:cNvSpPr/>
      </xdr:nvSpPr>
      <xdr:spPr>
        <a:xfrm>
          <a:off x="39145420" y="3169497"/>
          <a:ext cx="487231" cy="96494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170</xdr:col>
      <xdr:colOff>188058</xdr:colOff>
      <xdr:row>4</xdr:row>
      <xdr:rowOff>190264</xdr:rowOff>
    </xdr:from>
    <xdr:ext cx="574273" cy="2022305"/>
    <xdr:cxnSp macro="">
      <xdr:nvCxnSpPr>
        <xdr:cNvPr id="463" name="直線コネクタ 462">
          <a:extLst>
            <a:ext uri="{FF2B5EF4-FFF2-40B4-BE49-F238E27FC236}">
              <a16:creationId xmlns:a16="http://schemas.microsoft.com/office/drawing/2014/main" id="{E54B300F-B416-4311-9144-50FF9112CB8F}"/>
            </a:ext>
          </a:extLst>
        </xdr:cNvPr>
        <xdr:cNvCxnSpPr/>
      </xdr:nvCxnSpPr>
      <xdr:spPr>
        <a:xfrm flipH="1">
          <a:off x="39512701" y="1115550"/>
          <a:ext cx="574273" cy="202230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201533</xdr:colOff>
      <xdr:row>11</xdr:row>
      <xdr:rowOff>218921</xdr:rowOff>
    </xdr:from>
    <xdr:ext cx="318248" cy="0"/>
    <xdr:cxnSp macro="">
      <xdr:nvCxnSpPr>
        <xdr:cNvPr id="464" name="直線コネクタ 463">
          <a:extLst>
            <a:ext uri="{FF2B5EF4-FFF2-40B4-BE49-F238E27FC236}">
              <a16:creationId xmlns:a16="http://schemas.microsoft.com/office/drawing/2014/main" id="{03E15ACD-233E-482A-80CB-9DB7F575B603}"/>
            </a:ext>
          </a:extLst>
        </xdr:cNvPr>
        <xdr:cNvCxnSpPr/>
      </xdr:nvCxnSpPr>
      <xdr:spPr>
        <a:xfrm>
          <a:off x="39294854" y="2763457"/>
          <a:ext cx="3182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73083</xdr:colOff>
      <xdr:row>10</xdr:row>
      <xdr:rowOff>98907</xdr:rowOff>
    </xdr:from>
    <xdr:ext cx="322422" cy="5255"/>
    <xdr:cxnSp macro="">
      <xdr:nvCxnSpPr>
        <xdr:cNvPr id="465" name="直線コネクタ 464">
          <a:extLst>
            <a:ext uri="{FF2B5EF4-FFF2-40B4-BE49-F238E27FC236}">
              <a16:creationId xmlns:a16="http://schemas.microsoft.com/office/drawing/2014/main" id="{21C0568D-770C-4546-9D23-080EC1E174EA}"/>
            </a:ext>
          </a:extLst>
        </xdr:cNvPr>
        <xdr:cNvCxnSpPr/>
      </xdr:nvCxnSpPr>
      <xdr:spPr>
        <a:xfrm>
          <a:off x="39397726" y="2412121"/>
          <a:ext cx="322422" cy="525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175772</xdr:colOff>
      <xdr:row>8</xdr:row>
      <xdr:rowOff>205043</xdr:rowOff>
    </xdr:from>
    <xdr:ext cx="321996" cy="0"/>
    <xdr:cxnSp macro="">
      <xdr:nvCxnSpPr>
        <xdr:cNvPr id="466" name="直線コネクタ 465">
          <a:extLst>
            <a:ext uri="{FF2B5EF4-FFF2-40B4-BE49-F238E27FC236}">
              <a16:creationId xmlns:a16="http://schemas.microsoft.com/office/drawing/2014/main" id="{04036EB4-F49B-4442-A596-6423E481B213}"/>
            </a:ext>
          </a:extLst>
        </xdr:cNvPr>
        <xdr:cNvCxnSpPr/>
      </xdr:nvCxnSpPr>
      <xdr:spPr>
        <a:xfrm>
          <a:off x="39500415" y="2055614"/>
          <a:ext cx="32199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51675</xdr:colOff>
      <xdr:row>7</xdr:row>
      <xdr:rowOff>74140</xdr:rowOff>
    </xdr:from>
    <xdr:ext cx="312805" cy="0"/>
    <xdr:cxnSp macro="">
      <xdr:nvCxnSpPr>
        <xdr:cNvPr id="467" name="直線コネクタ 466">
          <a:extLst>
            <a:ext uri="{FF2B5EF4-FFF2-40B4-BE49-F238E27FC236}">
              <a16:creationId xmlns:a16="http://schemas.microsoft.com/office/drawing/2014/main" id="{5FF634A0-3136-4928-B573-92312A64C00E}"/>
            </a:ext>
          </a:extLst>
        </xdr:cNvPr>
        <xdr:cNvCxnSpPr/>
      </xdr:nvCxnSpPr>
      <xdr:spPr>
        <a:xfrm>
          <a:off x="39607639" y="1693390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155701</xdr:colOff>
      <xdr:row>5</xdr:row>
      <xdr:rowOff>160682</xdr:rowOff>
    </xdr:from>
    <xdr:ext cx="315526" cy="0"/>
    <xdr:cxnSp macro="">
      <xdr:nvCxnSpPr>
        <xdr:cNvPr id="468" name="直線コネクタ 467">
          <a:extLst>
            <a:ext uri="{FF2B5EF4-FFF2-40B4-BE49-F238E27FC236}">
              <a16:creationId xmlns:a16="http://schemas.microsoft.com/office/drawing/2014/main" id="{8E1ED39D-CCC8-4C78-9EF2-58E6DB86BF64}"/>
            </a:ext>
          </a:extLst>
        </xdr:cNvPr>
        <xdr:cNvCxnSpPr/>
      </xdr:nvCxnSpPr>
      <xdr:spPr>
        <a:xfrm>
          <a:off x="39711665" y="1317289"/>
          <a:ext cx="31552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206206</xdr:colOff>
      <xdr:row>4</xdr:row>
      <xdr:rowOff>184765</xdr:rowOff>
    </xdr:from>
    <xdr:ext cx="431687" cy="0"/>
    <xdr:cxnSp macro="">
      <xdr:nvCxnSpPr>
        <xdr:cNvPr id="469" name="直線コネクタ 468">
          <a:extLst>
            <a:ext uri="{FF2B5EF4-FFF2-40B4-BE49-F238E27FC236}">
              <a16:creationId xmlns:a16="http://schemas.microsoft.com/office/drawing/2014/main" id="{A3F16521-2753-4B0D-A223-A4ADC23BB852}"/>
            </a:ext>
          </a:extLst>
        </xdr:cNvPr>
        <xdr:cNvCxnSpPr/>
      </xdr:nvCxnSpPr>
      <xdr:spPr>
        <a:xfrm>
          <a:off x="39762170" y="1110051"/>
          <a:ext cx="43168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174070</xdr:colOff>
      <xdr:row>11</xdr:row>
      <xdr:rowOff>185651</xdr:rowOff>
    </xdr:from>
    <xdr:ext cx="37664" cy="42986"/>
    <xdr:sp macro="" textlink="">
      <xdr:nvSpPr>
        <xdr:cNvPr id="470" name="楕円 469">
          <a:extLst>
            <a:ext uri="{FF2B5EF4-FFF2-40B4-BE49-F238E27FC236}">
              <a16:creationId xmlns:a16="http://schemas.microsoft.com/office/drawing/2014/main" id="{280C7E9B-3180-45C6-B972-CDCA348E5B84}"/>
            </a:ext>
          </a:extLst>
        </xdr:cNvPr>
        <xdr:cNvSpPr/>
      </xdr:nvSpPr>
      <xdr:spPr>
        <a:xfrm>
          <a:off x="39267391" y="273018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170</xdr:col>
      <xdr:colOff>88127</xdr:colOff>
      <xdr:row>12</xdr:row>
      <xdr:rowOff>147374</xdr:rowOff>
    </xdr:from>
    <xdr:ext cx="37664" cy="42986"/>
    <xdr:sp macro="" textlink="">
      <xdr:nvSpPr>
        <xdr:cNvPr id="471" name="楕円 470">
          <a:extLst>
            <a:ext uri="{FF2B5EF4-FFF2-40B4-BE49-F238E27FC236}">
              <a16:creationId xmlns:a16="http://schemas.microsoft.com/office/drawing/2014/main" id="{7EA0548C-32B9-4865-BE15-441F0E3F7957}"/>
            </a:ext>
          </a:extLst>
        </xdr:cNvPr>
        <xdr:cNvSpPr/>
      </xdr:nvSpPr>
      <xdr:spPr>
        <a:xfrm>
          <a:off x="39412770" y="2923231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169</xdr:col>
      <xdr:colOff>136133</xdr:colOff>
      <xdr:row>9</xdr:row>
      <xdr:rowOff>10968</xdr:rowOff>
    </xdr:from>
    <xdr:ext cx="444352" cy="224998"/>
    <xdr:sp macro="" textlink="$FD$12">
      <xdr:nvSpPr>
        <xdr:cNvPr id="472" name="テキスト ボックス 471">
          <a:extLst>
            <a:ext uri="{FF2B5EF4-FFF2-40B4-BE49-F238E27FC236}">
              <a16:creationId xmlns:a16="http://schemas.microsoft.com/office/drawing/2014/main" id="{2ECBF0FF-8E43-45A8-B6D3-6D8DE0ECE1DE}"/>
            </a:ext>
          </a:extLst>
        </xdr:cNvPr>
        <xdr:cNvSpPr txBox="1"/>
      </xdr:nvSpPr>
      <xdr:spPr>
        <a:xfrm>
          <a:off x="38985362" y="207986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5A09C15-59F5-43C6-9F12-631DBBB7136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169</xdr:col>
      <xdr:colOff>191110</xdr:colOff>
      <xdr:row>9</xdr:row>
      <xdr:rowOff>204208</xdr:rowOff>
    </xdr:from>
    <xdr:ext cx="103158" cy="0"/>
    <xdr:cxnSp macro="">
      <xdr:nvCxnSpPr>
        <xdr:cNvPr id="473" name="直線コネクタ 472">
          <a:extLst>
            <a:ext uri="{FF2B5EF4-FFF2-40B4-BE49-F238E27FC236}">
              <a16:creationId xmlns:a16="http://schemas.microsoft.com/office/drawing/2014/main" id="{24600DCA-6F03-42A5-BEFD-0D819E0B415C}"/>
            </a:ext>
          </a:extLst>
        </xdr:cNvPr>
        <xdr:cNvCxnSpPr/>
      </xdr:nvCxnSpPr>
      <xdr:spPr>
        <a:xfrm>
          <a:off x="39284431" y="2286101"/>
          <a:ext cx="10315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190744</xdr:colOff>
      <xdr:row>9</xdr:row>
      <xdr:rowOff>168280</xdr:rowOff>
    </xdr:from>
    <xdr:ext cx="0" cy="208976"/>
    <xdr:cxnSp macro="">
      <xdr:nvCxnSpPr>
        <xdr:cNvPr id="474" name="直線コネクタ 473">
          <a:extLst>
            <a:ext uri="{FF2B5EF4-FFF2-40B4-BE49-F238E27FC236}">
              <a16:creationId xmlns:a16="http://schemas.microsoft.com/office/drawing/2014/main" id="{60C994B2-FF1A-428D-A058-06B2E9EB9A57}"/>
            </a:ext>
          </a:extLst>
        </xdr:cNvPr>
        <xdr:cNvCxnSpPr/>
      </xdr:nvCxnSpPr>
      <xdr:spPr>
        <a:xfrm>
          <a:off x="39284065" y="2250173"/>
          <a:ext cx="0" cy="20897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193153</xdr:colOff>
      <xdr:row>11</xdr:row>
      <xdr:rowOff>91968</xdr:rowOff>
    </xdr:from>
    <xdr:ext cx="1025" cy="58666"/>
    <xdr:cxnSp macro="">
      <xdr:nvCxnSpPr>
        <xdr:cNvPr id="475" name="直線コネクタ 474">
          <a:extLst>
            <a:ext uri="{FF2B5EF4-FFF2-40B4-BE49-F238E27FC236}">
              <a16:creationId xmlns:a16="http://schemas.microsoft.com/office/drawing/2014/main" id="{9DE9D005-2AD2-4F32-B5D3-18854BBCC9F2}"/>
            </a:ext>
          </a:extLst>
        </xdr:cNvPr>
        <xdr:cNvCxnSpPr/>
      </xdr:nvCxnSpPr>
      <xdr:spPr>
        <a:xfrm>
          <a:off x="39286474" y="2636504"/>
          <a:ext cx="1025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64330</xdr:colOff>
      <xdr:row>9</xdr:row>
      <xdr:rowOff>118663</xdr:rowOff>
    </xdr:from>
    <xdr:ext cx="37664" cy="42986"/>
    <xdr:sp macro="" textlink="">
      <xdr:nvSpPr>
        <xdr:cNvPr id="476" name="楕円 475">
          <a:extLst>
            <a:ext uri="{FF2B5EF4-FFF2-40B4-BE49-F238E27FC236}">
              <a16:creationId xmlns:a16="http://schemas.microsoft.com/office/drawing/2014/main" id="{44220324-E0B4-4062-B300-F3E41737F479}"/>
            </a:ext>
          </a:extLst>
        </xdr:cNvPr>
        <xdr:cNvSpPr/>
      </xdr:nvSpPr>
      <xdr:spPr>
        <a:xfrm>
          <a:off x="39620294" y="2200556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169</xdr:col>
      <xdr:colOff>190356</xdr:colOff>
      <xdr:row>8</xdr:row>
      <xdr:rowOff>95102</xdr:rowOff>
    </xdr:from>
    <xdr:ext cx="197909" cy="0"/>
    <xdr:cxnSp macro="">
      <xdr:nvCxnSpPr>
        <xdr:cNvPr id="477" name="直線コネクタ 476">
          <a:extLst>
            <a:ext uri="{FF2B5EF4-FFF2-40B4-BE49-F238E27FC236}">
              <a16:creationId xmlns:a16="http://schemas.microsoft.com/office/drawing/2014/main" id="{54B45656-7663-452D-952F-0CC5CDD56E69}"/>
            </a:ext>
          </a:extLst>
        </xdr:cNvPr>
        <xdr:cNvCxnSpPr/>
      </xdr:nvCxnSpPr>
      <xdr:spPr>
        <a:xfrm>
          <a:off x="39283677" y="1945673"/>
          <a:ext cx="19790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190744</xdr:colOff>
      <xdr:row>8</xdr:row>
      <xdr:rowOff>35811</xdr:rowOff>
    </xdr:from>
    <xdr:ext cx="0" cy="153346"/>
    <xdr:cxnSp macro="">
      <xdr:nvCxnSpPr>
        <xdr:cNvPr id="478" name="直線コネクタ 477">
          <a:extLst>
            <a:ext uri="{FF2B5EF4-FFF2-40B4-BE49-F238E27FC236}">
              <a16:creationId xmlns:a16="http://schemas.microsoft.com/office/drawing/2014/main" id="{E4F116DA-763C-43AF-ABA5-C94CD82273D4}"/>
            </a:ext>
          </a:extLst>
        </xdr:cNvPr>
        <xdr:cNvCxnSpPr/>
      </xdr:nvCxnSpPr>
      <xdr:spPr>
        <a:xfrm>
          <a:off x="39284065" y="1886382"/>
          <a:ext cx="0" cy="15334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57997</xdr:colOff>
      <xdr:row>9</xdr:row>
      <xdr:rowOff>183408</xdr:rowOff>
    </xdr:from>
    <xdr:ext cx="0" cy="60215"/>
    <xdr:cxnSp macro="">
      <xdr:nvCxnSpPr>
        <xdr:cNvPr id="479" name="直線コネクタ 478">
          <a:extLst>
            <a:ext uri="{FF2B5EF4-FFF2-40B4-BE49-F238E27FC236}">
              <a16:creationId xmlns:a16="http://schemas.microsoft.com/office/drawing/2014/main" id="{F0653B46-01AF-474F-A994-97FD8B63DCB1}"/>
            </a:ext>
          </a:extLst>
        </xdr:cNvPr>
        <xdr:cNvCxnSpPr/>
      </xdr:nvCxnSpPr>
      <xdr:spPr>
        <a:xfrm>
          <a:off x="39382640" y="2265301"/>
          <a:ext cx="0" cy="6021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30977</xdr:colOff>
      <xdr:row>8</xdr:row>
      <xdr:rowOff>88161</xdr:rowOff>
    </xdr:from>
    <xdr:ext cx="444352" cy="224998"/>
    <xdr:sp macro="" textlink="$ER$11">
      <xdr:nvSpPr>
        <xdr:cNvPr id="480" name="テキスト ボックス 479">
          <a:extLst>
            <a:ext uri="{FF2B5EF4-FFF2-40B4-BE49-F238E27FC236}">
              <a16:creationId xmlns:a16="http://schemas.microsoft.com/office/drawing/2014/main" id="{D70CF752-C6B3-491B-B81B-96B9D45A979F}"/>
            </a:ext>
          </a:extLst>
        </xdr:cNvPr>
        <xdr:cNvSpPr txBox="1"/>
      </xdr:nvSpPr>
      <xdr:spPr>
        <a:xfrm>
          <a:off x="38880206" y="19271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4C79409-7AAF-4F44-A0A9-6CBACDE45741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170</xdr:col>
      <xdr:colOff>162333</xdr:colOff>
      <xdr:row>8</xdr:row>
      <xdr:rowOff>65336</xdr:rowOff>
    </xdr:from>
    <xdr:ext cx="0" cy="58666"/>
    <xdr:cxnSp macro="">
      <xdr:nvCxnSpPr>
        <xdr:cNvPr id="483" name="直線コネクタ 482">
          <a:extLst>
            <a:ext uri="{FF2B5EF4-FFF2-40B4-BE49-F238E27FC236}">
              <a16:creationId xmlns:a16="http://schemas.microsoft.com/office/drawing/2014/main" id="{0839B283-EA06-472A-8EB7-6ACBF8B9F3A3}"/>
            </a:ext>
          </a:extLst>
        </xdr:cNvPr>
        <xdr:cNvCxnSpPr/>
      </xdr:nvCxnSpPr>
      <xdr:spPr>
        <a:xfrm>
          <a:off x="39486976" y="1915907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63662</xdr:colOff>
      <xdr:row>9</xdr:row>
      <xdr:rowOff>203966</xdr:rowOff>
    </xdr:from>
    <xdr:ext cx="243046" cy="0"/>
    <xdr:cxnSp macro="">
      <xdr:nvCxnSpPr>
        <xdr:cNvPr id="492" name="直線コネクタ 491">
          <a:extLst>
            <a:ext uri="{FF2B5EF4-FFF2-40B4-BE49-F238E27FC236}">
              <a16:creationId xmlns:a16="http://schemas.microsoft.com/office/drawing/2014/main" id="{65469D6B-611B-4FC5-BF7D-CF19D7E637BD}"/>
            </a:ext>
          </a:extLst>
        </xdr:cNvPr>
        <xdr:cNvCxnSpPr/>
      </xdr:nvCxnSpPr>
      <xdr:spPr>
        <a:xfrm>
          <a:off x="39388305" y="2285859"/>
          <a:ext cx="24304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79100</xdr:colOff>
      <xdr:row>9</xdr:row>
      <xdr:rowOff>174036</xdr:rowOff>
    </xdr:from>
    <xdr:ext cx="0" cy="62798"/>
    <xdr:cxnSp macro="">
      <xdr:nvCxnSpPr>
        <xdr:cNvPr id="493" name="直線コネクタ 492">
          <a:extLst>
            <a:ext uri="{FF2B5EF4-FFF2-40B4-BE49-F238E27FC236}">
              <a16:creationId xmlns:a16="http://schemas.microsoft.com/office/drawing/2014/main" id="{46A8323A-89C7-4B4C-889E-9EA3E94CE65C}"/>
            </a:ext>
          </a:extLst>
        </xdr:cNvPr>
        <xdr:cNvCxnSpPr/>
      </xdr:nvCxnSpPr>
      <xdr:spPr>
        <a:xfrm>
          <a:off x="39635064" y="2255929"/>
          <a:ext cx="0" cy="62798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225360</xdr:colOff>
      <xdr:row>9</xdr:row>
      <xdr:rowOff>155443</xdr:rowOff>
    </xdr:from>
    <xdr:ext cx="444352" cy="224998"/>
    <xdr:sp macro="" textlink="$FA$12">
      <xdr:nvSpPr>
        <xdr:cNvPr id="494" name="テキスト ボックス 493">
          <a:extLst>
            <a:ext uri="{FF2B5EF4-FFF2-40B4-BE49-F238E27FC236}">
              <a16:creationId xmlns:a16="http://schemas.microsoft.com/office/drawing/2014/main" id="{751D53E5-FFD0-447E-98DD-155B38E2193F}"/>
            </a:ext>
          </a:extLst>
        </xdr:cNvPr>
        <xdr:cNvSpPr txBox="1"/>
      </xdr:nvSpPr>
      <xdr:spPr>
        <a:xfrm>
          <a:off x="39318681" y="223733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D3890C6-AF30-4781-88DD-AC48D965F887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170</xdr:col>
      <xdr:colOff>167998</xdr:colOff>
      <xdr:row>8</xdr:row>
      <xdr:rowOff>88241</xdr:rowOff>
    </xdr:from>
    <xdr:ext cx="208138" cy="0"/>
    <xdr:cxnSp macro="">
      <xdr:nvCxnSpPr>
        <xdr:cNvPr id="495" name="直線コネクタ 494">
          <a:extLst>
            <a:ext uri="{FF2B5EF4-FFF2-40B4-BE49-F238E27FC236}">
              <a16:creationId xmlns:a16="http://schemas.microsoft.com/office/drawing/2014/main" id="{D871616B-E516-48EE-AAB4-77B5BED98D26}"/>
            </a:ext>
          </a:extLst>
        </xdr:cNvPr>
        <xdr:cNvCxnSpPr/>
      </xdr:nvCxnSpPr>
      <xdr:spPr>
        <a:xfrm>
          <a:off x="39305615" y="1930011"/>
          <a:ext cx="2081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162520</xdr:colOff>
      <xdr:row>8</xdr:row>
      <xdr:rowOff>48933</xdr:rowOff>
    </xdr:from>
    <xdr:ext cx="1024" cy="58666"/>
    <xdr:cxnSp macro="">
      <xdr:nvCxnSpPr>
        <xdr:cNvPr id="496" name="直線コネクタ 495">
          <a:extLst>
            <a:ext uri="{FF2B5EF4-FFF2-40B4-BE49-F238E27FC236}">
              <a16:creationId xmlns:a16="http://schemas.microsoft.com/office/drawing/2014/main" id="{12387B5F-A5B8-406E-B61D-40A8293C5A7A}"/>
            </a:ext>
          </a:extLst>
        </xdr:cNvPr>
        <xdr:cNvCxnSpPr/>
      </xdr:nvCxnSpPr>
      <xdr:spPr>
        <a:xfrm>
          <a:off x="39530358" y="1890703"/>
          <a:ext cx="1024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103348</xdr:colOff>
      <xdr:row>8</xdr:row>
      <xdr:rowOff>91203</xdr:rowOff>
    </xdr:from>
    <xdr:ext cx="444352" cy="224998"/>
    <xdr:sp macro="" textlink="$FA$11">
      <xdr:nvSpPr>
        <xdr:cNvPr id="497" name="テキスト ボックス 496">
          <a:extLst>
            <a:ext uri="{FF2B5EF4-FFF2-40B4-BE49-F238E27FC236}">
              <a16:creationId xmlns:a16="http://schemas.microsoft.com/office/drawing/2014/main" id="{C095704B-2B96-491C-B90C-F060369B9252}"/>
            </a:ext>
          </a:extLst>
        </xdr:cNvPr>
        <xdr:cNvSpPr txBox="1"/>
      </xdr:nvSpPr>
      <xdr:spPr>
        <a:xfrm>
          <a:off x="39182454" y="193022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141E828-2FFF-44DD-9A2F-7400EE6A4BA3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0.630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171</xdr:col>
      <xdr:colOff>139826</xdr:colOff>
      <xdr:row>8</xdr:row>
      <xdr:rowOff>105893</xdr:rowOff>
    </xdr:from>
    <xdr:ext cx="37664" cy="42986"/>
    <xdr:sp macro="" textlink="">
      <xdr:nvSpPr>
        <xdr:cNvPr id="498" name="楕円 497">
          <a:extLst>
            <a:ext uri="{FF2B5EF4-FFF2-40B4-BE49-F238E27FC236}">
              <a16:creationId xmlns:a16="http://schemas.microsoft.com/office/drawing/2014/main" id="{0C5D7FED-3212-47D0-8710-78AD86060BD3}"/>
            </a:ext>
          </a:extLst>
        </xdr:cNvPr>
        <xdr:cNvSpPr/>
      </xdr:nvSpPr>
      <xdr:spPr>
        <a:xfrm>
          <a:off x="39507664" y="19476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169</xdr:col>
      <xdr:colOff>191443</xdr:colOff>
      <xdr:row>11</xdr:row>
      <xdr:rowOff>96112</xdr:rowOff>
    </xdr:from>
    <xdr:ext cx="243045" cy="0"/>
    <xdr:cxnSp macro="">
      <xdr:nvCxnSpPr>
        <xdr:cNvPr id="499" name="直線コネクタ 498">
          <a:extLst>
            <a:ext uri="{FF2B5EF4-FFF2-40B4-BE49-F238E27FC236}">
              <a16:creationId xmlns:a16="http://schemas.microsoft.com/office/drawing/2014/main" id="{51D749BD-9118-4ACC-B813-542FF3B06E8F}"/>
            </a:ext>
          </a:extLst>
        </xdr:cNvPr>
        <xdr:cNvCxnSpPr/>
      </xdr:nvCxnSpPr>
      <xdr:spPr>
        <a:xfrm>
          <a:off x="39284764" y="2640648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204536</xdr:colOff>
      <xdr:row>11</xdr:row>
      <xdr:rowOff>56804</xdr:rowOff>
    </xdr:from>
    <xdr:ext cx="0" cy="58666"/>
    <xdr:cxnSp macro="">
      <xdr:nvCxnSpPr>
        <xdr:cNvPr id="500" name="直線コネクタ 499">
          <a:extLst>
            <a:ext uri="{FF2B5EF4-FFF2-40B4-BE49-F238E27FC236}">
              <a16:creationId xmlns:a16="http://schemas.microsoft.com/office/drawing/2014/main" id="{6468E41C-700C-4414-9430-1D962ECF8EE5}"/>
            </a:ext>
          </a:extLst>
        </xdr:cNvPr>
        <xdr:cNvCxnSpPr/>
      </xdr:nvCxnSpPr>
      <xdr:spPr>
        <a:xfrm>
          <a:off x="39529179" y="2601340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170</xdr:col>
      <xdr:colOff>188595</xdr:colOff>
      <xdr:row>11</xdr:row>
      <xdr:rowOff>13742</xdr:rowOff>
    </xdr:from>
    <xdr:ext cx="37664" cy="42986"/>
    <xdr:sp macro="" textlink="">
      <xdr:nvSpPr>
        <xdr:cNvPr id="502" name="楕円 501">
          <a:extLst>
            <a:ext uri="{FF2B5EF4-FFF2-40B4-BE49-F238E27FC236}">
              <a16:creationId xmlns:a16="http://schemas.microsoft.com/office/drawing/2014/main" id="{526F1EF0-1725-468C-9E0A-BBB3542BAFE3}"/>
            </a:ext>
          </a:extLst>
        </xdr:cNvPr>
        <xdr:cNvSpPr/>
      </xdr:nvSpPr>
      <xdr:spPr>
        <a:xfrm>
          <a:off x="39513238" y="255827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169</xdr:col>
      <xdr:colOff>55827</xdr:colOff>
      <xdr:row>10</xdr:row>
      <xdr:rowOff>140082</xdr:rowOff>
    </xdr:from>
    <xdr:ext cx="444352" cy="224998"/>
    <xdr:sp macro="" textlink="$FA$13">
      <xdr:nvSpPr>
        <xdr:cNvPr id="507" name="テキスト ボックス 506">
          <a:extLst>
            <a:ext uri="{FF2B5EF4-FFF2-40B4-BE49-F238E27FC236}">
              <a16:creationId xmlns:a16="http://schemas.microsoft.com/office/drawing/2014/main" id="{F7DFBA7B-C02D-46C2-9A43-3C329C107CD9}"/>
            </a:ext>
          </a:extLst>
        </xdr:cNvPr>
        <xdr:cNvSpPr txBox="1"/>
      </xdr:nvSpPr>
      <xdr:spPr>
        <a:xfrm>
          <a:off x="38905056" y="243885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493854C-C821-4B88-80B6-88648BC0B62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173</xdr:col>
      <xdr:colOff>54286</xdr:colOff>
      <xdr:row>8</xdr:row>
      <xdr:rowOff>68631</xdr:rowOff>
    </xdr:from>
    <xdr:ext cx="0" cy="1348329"/>
    <xdr:cxnSp macro="">
      <xdr:nvCxnSpPr>
        <xdr:cNvPr id="509" name="直線コネクタ 508">
          <a:extLst>
            <a:ext uri="{FF2B5EF4-FFF2-40B4-BE49-F238E27FC236}">
              <a16:creationId xmlns:a16="http://schemas.microsoft.com/office/drawing/2014/main" id="{23A2DB26-C019-4EFC-8052-F1444A294C54}"/>
            </a:ext>
          </a:extLst>
        </xdr:cNvPr>
        <xdr:cNvCxnSpPr/>
      </xdr:nvCxnSpPr>
      <xdr:spPr>
        <a:xfrm>
          <a:off x="40072893" y="1919202"/>
          <a:ext cx="0" cy="134832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169</xdr:col>
      <xdr:colOff>78626</xdr:colOff>
      <xdr:row>8</xdr:row>
      <xdr:rowOff>67422</xdr:rowOff>
    </xdr:from>
    <xdr:ext cx="1204694" cy="0"/>
    <xdr:cxnSp macro="">
      <xdr:nvCxnSpPr>
        <xdr:cNvPr id="510" name="直線コネクタ 509">
          <a:extLst>
            <a:ext uri="{FF2B5EF4-FFF2-40B4-BE49-F238E27FC236}">
              <a16:creationId xmlns:a16="http://schemas.microsoft.com/office/drawing/2014/main" id="{C757F924-8787-48D1-ABF5-926CD66D535E}"/>
            </a:ext>
          </a:extLst>
        </xdr:cNvPr>
        <xdr:cNvCxnSpPr/>
      </xdr:nvCxnSpPr>
      <xdr:spPr>
        <a:xfrm>
          <a:off x="38986022" y="1909192"/>
          <a:ext cx="1204694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173</xdr:col>
      <xdr:colOff>146997</xdr:colOff>
      <xdr:row>8</xdr:row>
      <xdr:rowOff>94264</xdr:rowOff>
    </xdr:from>
    <xdr:ext cx="170112" cy="0"/>
    <xdr:cxnSp macro="">
      <xdr:nvCxnSpPr>
        <xdr:cNvPr id="511" name="直線コネクタ 510">
          <a:extLst>
            <a:ext uri="{FF2B5EF4-FFF2-40B4-BE49-F238E27FC236}">
              <a16:creationId xmlns:a16="http://schemas.microsoft.com/office/drawing/2014/main" id="{089ACAE5-922D-4D60-9F5B-5E723C79B34C}"/>
            </a:ext>
          </a:extLst>
        </xdr:cNvPr>
        <xdr:cNvCxnSpPr/>
      </xdr:nvCxnSpPr>
      <xdr:spPr>
        <a:xfrm>
          <a:off x="40165604" y="1944835"/>
          <a:ext cx="17011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173</xdr:col>
      <xdr:colOff>210458</xdr:colOff>
      <xdr:row>8</xdr:row>
      <xdr:rowOff>145837</xdr:rowOff>
    </xdr:from>
    <xdr:ext cx="38296" cy="0"/>
    <xdr:cxnSp macro="">
      <xdr:nvCxnSpPr>
        <xdr:cNvPr id="512" name="直線コネクタ 511">
          <a:extLst>
            <a:ext uri="{FF2B5EF4-FFF2-40B4-BE49-F238E27FC236}">
              <a16:creationId xmlns:a16="http://schemas.microsoft.com/office/drawing/2014/main" id="{CB646021-6545-48B6-A2F0-EBC3BA800423}"/>
            </a:ext>
          </a:extLst>
        </xdr:cNvPr>
        <xdr:cNvCxnSpPr/>
      </xdr:nvCxnSpPr>
      <xdr:spPr>
        <a:xfrm>
          <a:off x="40229065" y="1996408"/>
          <a:ext cx="38296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173</xdr:col>
      <xdr:colOff>189068</xdr:colOff>
      <xdr:row>8</xdr:row>
      <xdr:rowOff>21928</xdr:rowOff>
    </xdr:from>
    <xdr:ext cx="84792" cy="45161"/>
    <xdr:sp macro="" textlink="">
      <xdr:nvSpPr>
        <xdr:cNvPr id="513" name="二等辺三角形 512">
          <a:extLst>
            <a:ext uri="{FF2B5EF4-FFF2-40B4-BE49-F238E27FC236}">
              <a16:creationId xmlns:a16="http://schemas.microsoft.com/office/drawing/2014/main" id="{314BE6D2-5C44-44E9-9E7F-1BB3D5610039}"/>
            </a:ext>
          </a:extLst>
        </xdr:cNvPr>
        <xdr:cNvSpPr/>
      </xdr:nvSpPr>
      <xdr:spPr>
        <a:xfrm rot="10800000">
          <a:off x="40207675" y="1872499"/>
          <a:ext cx="8479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173</xdr:col>
      <xdr:colOff>39791</xdr:colOff>
      <xdr:row>10</xdr:row>
      <xdr:rowOff>163870</xdr:rowOff>
    </xdr:from>
    <xdr:ext cx="224998" cy="387607"/>
    <xdr:sp macro="" textlink="">
      <xdr:nvSpPr>
        <xdr:cNvPr id="514" name="テキスト ボックス 513">
          <a:extLst>
            <a:ext uri="{FF2B5EF4-FFF2-40B4-BE49-F238E27FC236}">
              <a16:creationId xmlns:a16="http://schemas.microsoft.com/office/drawing/2014/main" id="{C5C24034-7A30-43C9-B459-092C36183F1A}"/>
            </a:ext>
          </a:extLst>
        </xdr:cNvPr>
        <xdr:cNvSpPr txBox="1"/>
      </xdr:nvSpPr>
      <xdr:spPr>
        <a:xfrm rot="16200000">
          <a:off x="39977093" y="2558389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173</xdr:col>
      <xdr:colOff>59603</xdr:colOff>
      <xdr:row>9</xdr:row>
      <xdr:rowOff>82457</xdr:rowOff>
    </xdr:from>
    <xdr:ext cx="224998" cy="444352"/>
    <xdr:sp macro="" textlink="'1.設計条件'!T37">
      <xdr:nvSpPr>
        <xdr:cNvPr id="515" name="テキスト ボックス 514">
          <a:extLst>
            <a:ext uri="{FF2B5EF4-FFF2-40B4-BE49-F238E27FC236}">
              <a16:creationId xmlns:a16="http://schemas.microsoft.com/office/drawing/2014/main" id="{5D437087-36FB-4D28-825D-EC716EA4FD99}"/>
            </a:ext>
          </a:extLst>
        </xdr:cNvPr>
        <xdr:cNvSpPr txBox="1"/>
      </xdr:nvSpPr>
      <xdr:spPr>
        <a:xfrm rot="16200000">
          <a:off x="39968533" y="22740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173</xdr:col>
      <xdr:colOff>179501</xdr:colOff>
      <xdr:row>8</xdr:row>
      <xdr:rowOff>120934</xdr:rowOff>
    </xdr:from>
    <xdr:ext cx="100968" cy="0"/>
    <xdr:cxnSp macro="">
      <xdr:nvCxnSpPr>
        <xdr:cNvPr id="516" name="直線コネクタ 515">
          <a:extLst>
            <a:ext uri="{FF2B5EF4-FFF2-40B4-BE49-F238E27FC236}">
              <a16:creationId xmlns:a16="http://schemas.microsoft.com/office/drawing/2014/main" id="{298BCD43-0B10-4627-A246-D6B593D1E74A}"/>
            </a:ext>
          </a:extLst>
        </xdr:cNvPr>
        <xdr:cNvCxnSpPr/>
      </xdr:nvCxnSpPr>
      <xdr:spPr>
        <a:xfrm>
          <a:off x="40198108" y="1971505"/>
          <a:ext cx="10096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171</xdr:col>
      <xdr:colOff>208538</xdr:colOff>
      <xdr:row>14</xdr:row>
      <xdr:rowOff>28999</xdr:rowOff>
    </xdr:from>
    <xdr:ext cx="398249" cy="0"/>
    <xdr:cxnSp macro="">
      <xdr:nvCxnSpPr>
        <xdr:cNvPr id="517" name="直線コネクタ 516">
          <a:extLst>
            <a:ext uri="{FF2B5EF4-FFF2-40B4-BE49-F238E27FC236}">
              <a16:creationId xmlns:a16="http://schemas.microsoft.com/office/drawing/2014/main" id="{0362DE54-C6BB-44B0-B94C-0B964E2F78E2}"/>
            </a:ext>
          </a:extLst>
        </xdr:cNvPr>
        <xdr:cNvCxnSpPr/>
      </xdr:nvCxnSpPr>
      <xdr:spPr>
        <a:xfrm>
          <a:off x="39764502" y="3267499"/>
          <a:ext cx="39824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216139</xdr:colOff>
      <xdr:row>4</xdr:row>
      <xdr:rowOff>101564</xdr:rowOff>
    </xdr:from>
    <xdr:ext cx="415231" cy="0"/>
    <xdr:cxnSp macro="">
      <xdr:nvCxnSpPr>
        <xdr:cNvPr id="521" name="直線コネクタ 520">
          <a:extLst>
            <a:ext uri="{FF2B5EF4-FFF2-40B4-BE49-F238E27FC236}">
              <a16:creationId xmlns:a16="http://schemas.microsoft.com/office/drawing/2014/main" id="{90C6EFAF-135E-4CCE-855D-696921764728}"/>
            </a:ext>
          </a:extLst>
        </xdr:cNvPr>
        <xdr:cNvCxnSpPr/>
      </xdr:nvCxnSpPr>
      <xdr:spPr>
        <a:xfrm>
          <a:off x="45936139" y="1015964"/>
          <a:ext cx="41523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43611</xdr:colOff>
      <xdr:row>4</xdr:row>
      <xdr:rowOff>101564</xdr:rowOff>
    </xdr:from>
    <xdr:ext cx="589959" cy="2126470"/>
    <xdr:cxnSp macro="">
      <xdr:nvCxnSpPr>
        <xdr:cNvPr id="522" name="直線コネクタ 521">
          <a:extLst>
            <a:ext uri="{FF2B5EF4-FFF2-40B4-BE49-F238E27FC236}">
              <a16:creationId xmlns:a16="http://schemas.microsoft.com/office/drawing/2014/main" id="{524494F8-A6F5-4BB3-BB69-2FFA7E704493}"/>
            </a:ext>
          </a:extLst>
        </xdr:cNvPr>
        <xdr:cNvCxnSpPr/>
      </xdr:nvCxnSpPr>
      <xdr:spPr>
        <a:xfrm flipH="1">
          <a:off x="45763611" y="1015964"/>
          <a:ext cx="589959" cy="212647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90613</xdr:colOff>
      <xdr:row>4</xdr:row>
      <xdr:rowOff>101564</xdr:rowOff>
    </xdr:from>
    <xdr:ext cx="584408" cy="2106330"/>
    <xdr:cxnSp macro="">
      <xdr:nvCxnSpPr>
        <xdr:cNvPr id="523" name="直線コネクタ 522">
          <a:extLst>
            <a:ext uri="{FF2B5EF4-FFF2-40B4-BE49-F238E27FC236}">
              <a16:creationId xmlns:a16="http://schemas.microsoft.com/office/drawing/2014/main" id="{4EF98F6F-3D9C-465C-A538-BD11785DBED2}"/>
            </a:ext>
          </a:extLst>
        </xdr:cNvPr>
        <xdr:cNvCxnSpPr/>
      </xdr:nvCxnSpPr>
      <xdr:spPr>
        <a:xfrm flipH="1">
          <a:off x="45353413" y="1015964"/>
          <a:ext cx="584408" cy="210633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47813</xdr:colOff>
      <xdr:row>13</xdr:row>
      <xdr:rowOff>162318</xdr:rowOff>
    </xdr:from>
    <xdr:ext cx="487230" cy="92843"/>
    <xdr:sp macro="" textlink="">
      <xdr:nvSpPr>
        <xdr:cNvPr id="524" name="正方形/長方形 523">
          <a:extLst>
            <a:ext uri="{FF2B5EF4-FFF2-40B4-BE49-F238E27FC236}">
              <a16:creationId xmlns:a16="http://schemas.microsoft.com/office/drawing/2014/main" id="{78605754-6E35-4D81-878E-C80C6D850B4B}"/>
            </a:ext>
          </a:extLst>
        </xdr:cNvPr>
        <xdr:cNvSpPr/>
      </xdr:nvSpPr>
      <xdr:spPr>
        <a:xfrm>
          <a:off x="45310613" y="3134118"/>
          <a:ext cx="487230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205</xdr:col>
      <xdr:colOff>180618</xdr:colOff>
      <xdr:row>4</xdr:row>
      <xdr:rowOff>194521</xdr:rowOff>
    </xdr:from>
    <xdr:ext cx="550510" cy="2011927"/>
    <xdr:cxnSp macro="">
      <xdr:nvCxnSpPr>
        <xdr:cNvPr id="525" name="直線コネクタ 524">
          <a:extLst>
            <a:ext uri="{FF2B5EF4-FFF2-40B4-BE49-F238E27FC236}">
              <a16:creationId xmlns:a16="http://schemas.microsoft.com/office/drawing/2014/main" id="{E657F6C7-E199-4C01-84F9-F9DFBC0A75EE}"/>
            </a:ext>
          </a:extLst>
        </xdr:cNvPr>
        <xdr:cNvCxnSpPr/>
      </xdr:nvCxnSpPr>
      <xdr:spPr>
        <a:xfrm flipH="1">
          <a:off x="47305422" y="1114029"/>
          <a:ext cx="550510" cy="201192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167513</xdr:colOff>
      <xdr:row>11</xdr:row>
      <xdr:rowOff>218921</xdr:rowOff>
    </xdr:from>
    <xdr:ext cx="315526" cy="0"/>
    <xdr:cxnSp macro="">
      <xdr:nvCxnSpPr>
        <xdr:cNvPr id="526" name="直線コネクタ 525">
          <a:extLst>
            <a:ext uri="{FF2B5EF4-FFF2-40B4-BE49-F238E27FC236}">
              <a16:creationId xmlns:a16="http://schemas.microsoft.com/office/drawing/2014/main" id="{6B6F782A-9BB6-48B7-AF55-1F5669C3FE97}"/>
            </a:ext>
          </a:extLst>
        </xdr:cNvPr>
        <xdr:cNvCxnSpPr/>
      </xdr:nvCxnSpPr>
      <xdr:spPr>
        <a:xfrm>
          <a:off x="45430313" y="2733521"/>
          <a:ext cx="31552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39063</xdr:colOff>
      <xdr:row>10</xdr:row>
      <xdr:rowOff>98907</xdr:rowOff>
    </xdr:from>
    <xdr:ext cx="322421" cy="0"/>
    <xdr:cxnSp macro="">
      <xdr:nvCxnSpPr>
        <xdr:cNvPr id="527" name="直線コネクタ 526">
          <a:extLst>
            <a:ext uri="{FF2B5EF4-FFF2-40B4-BE49-F238E27FC236}">
              <a16:creationId xmlns:a16="http://schemas.microsoft.com/office/drawing/2014/main" id="{635E66EF-8507-4B81-978A-048802C83BE7}"/>
            </a:ext>
          </a:extLst>
        </xdr:cNvPr>
        <xdr:cNvCxnSpPr/>
      </xdr:nvCxnSpPr>
      <xdr:spPr>
        <a:xfrm>
          <a:off x="45530463" y="2384907"/>
          <a:ext cx="32242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141752</xdr:colOff>
      <xdr:row>8</xdr:row>
      <xdr:rowOff>205043</xdr:rowOff>
    </xdr:from>
    <xdr:ext cx="318249" cy="0"/>
    <xdr:cxnSp macro="">
      <xdr:nvCxnSpPr>
        <xdr:cNvPr id="528" name="直線コネクタ 527">
          <a:extLst>
            <a:ext uri="{FF2B5EF4-FFF2-40B4-BE49-F238E27FC236}">
              <a16:creationId xmlns:a16="http://schemas.microsoft.com/office/drawing/2014/main" id="{5EA9352E-3948-4B43-9DF5-4FDB35361796}"/>
            </a:ext>
          </a:extLst>
        </xdr:cNvPr>
        <xdr:cNvCxnSpPr/>
      </xdr:nvCxnSpPr>
      <xdr:spPr>
        <a:xfrm>
          <a:off x="45633152" y="2033843"/>
          <a:ext cx="31824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17655</xdr:colOff>
      <xdr:row>7</xdr:row>
      <xdr:rowOff>74140</xdr:rowOff>
    </xdr:from>
    <xdr:ext cx="312806" cy="0"/>
    <xdr:cxnSp macro="">
      <xdr:nvCxnSpPr>
        <xdr:cNvPr id="529" name="直線コネクタ 528">
          <a:extLst>
            <a:ext uri="{FF2B5EF4-FFF2-40B4-BE49-F238E27FC236}">
              <a16:creationId xmlns:a16="http://schemas.microsoft.com/office/drawing/2014/main" id="{76DA9C85-D44E-4FD0-93D0-9BF6C9F55EF8}"/>
            </a:ext>
          </a:extLst>
        </xdr:cNvPr>
        <xdr:cNvCxnSpPr/>
      </xdr:nvCxnSpPr>
      <xdr:spPr>
        <a:xfrm>
          <a:off x="45737655" y="1674340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121681</xdr:colOff>
      <xdr:row>5</xdr:row>
      <xdr:rowOff>160682</xdr:rowOff>
    </xdr:from>
    <xdr:ext cx="318248" cy="0"/>
    <xdr:cxnSp macro="">
      <xdr:nvCxnSpPr>
        <xdr:cNvPr id="530" name="直線コネクタ 529">
          <a:extLst>
            <a:ext uri="{FF2B5EF4-FFF2-40B4-BE49-F238E27FC236}">
              <a16:creationId xmlns:a16="http://schemas.microsoft.com/office/drawing/2014/main" id="{21EC225F-7242-4EFF-A4AD-8D24B1DFF08F}"/>
            </a:ext>
          </a:extLst>
        </xdr:cNvPr>
        <xdr:cNvCxnSpPr/>
      </xdr:nvCxnSpPr>
      <xdr:spPr>
        <a:xfrm>
          <a:off x="45841681" y="1303682"/>
          <a:ext cx="3182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172186</xdr:colOff>
      <xdr:row>4</xdr:row>
      <xdr:rowOff>184765</xdr:rowOff>
    </xdr:from>
    <xdr:ext cx="428965" cy="0"/>
    <xdr:cxnSp macro="">
      <xdr:nvCxnSpPr>
        <xdr:cNvPr id="531" name="直線コネクタ 530">
          <a:extLst>
            <a:ext uri="{FF2B5EF4-FFF2-40B4-BE49-F238E27FC236}">
              <a16:creationId xmlns:a16="http://schemas.microsoft.com/office/drawing/2014/main" id="{31B140FC-194B-470B-9634-27083BD8265F}"/>
            </a:ext>
          </a:extLst>
        </xdr:cNvPr>
        <xdr:cNvCxnSpPr/>
      </xdr:nvCxnSpPr>
      <xdr:spPr>
        <a:xfrm>
          <a:off x="45892186" y="1099165"/>
          <a:ext cx="42896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59224</xdr:colOff>
      <xdr:row>13</xdr:row>
      <xdr:rowOff>138571</xdr:rowOff>
    </xdr:from>
    <xdr:ext cx="37664" cy="42986"/>
    <xdr:sp macro="" textlink="">
      <xdr:nvSpPr>
        <xdr:cNvPr id="532" name="楕円 531">
          <a:extLst>
            <a:ext uri="{FF2B5EF4-FFF2-40B4-BE49-F238E27FC236}">
              <a16:creationId xmlns:a16="http://schemas.microsoft.com/office/drawing/2014/main" id="{F25C298D-1B22-4244-92B4-34A7E7078896}"/>
            </a:ext>
          </a:extLst>
        </xdr:cNvPr>
        <xdr:cNvSpPr/>
      </xdr:nvSpPr>
      <xdr:spPr>
        <a:xfrm>
          <a:off x="45322024" y="3110371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205</xdr:col>
      <xdr:colOff>54107</xdr:colOff>
      <xdr:row>12</xdr:row>
      <xdr:rowOff>147374</xdr:rowOff>
    </xdr:from>
    <xdr:ext cx="37664" cy="42986"/>
    <xdr:sp macro="" textlink="">
      <xdr:nvSpPr>
        <xdr:cNvPr id="533" name="楕円 532">
          <a:extLst>
            <a:ext uri="{FF2B5EF4-FFF2-40B4-BE49-F238E27FC236}">
              <a16:creationId xmlns:a16="http://schemas.microsoft.com/office/drawing/2014/main" id="{3A82AB85-438E-46CF-99A3-1FD34EAD2A95}"/>
            </a:ext>
          </a:extLst>
        </xdr:cNvPr>
        <xdr:cNvSpPr/>
      </xdr:nvSpPr>
      <xdr:spPr>
        <a:xfrm>
          <a:off x="45545507" y="2890574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13554</xdr:colOff>
      <xdr:row>10</xdr:row>
      <xdr:rowOff>131994</xdr:rowOff>
    </xdr:from>
    <xdr:ext cx="444352" cy="224998"/>
    <xdr:sp macro="" textlink="$GM$13">
      <xdr:nvSpPr>
        <xdr:cNvPr id="534" name="テキスト ボックス 533">
          <a:extLst>
            <a:ext uri="{FF2B5EF4-FFF2-40B4-BE49-F238E27FC236}">
              <a16:creationId xmlns:a16="http://schemas.microsoft.com/office/drawing/2014/main" id="{A2D7E20E-2D31-4978-8CA1-7B1FD074D224}"/>
            </a:ext>
          </a:extLst>
        </xdr:cNvPr>
        <xdr:cNvSpPr txBox="1"/>
      </xdr:nvSpPr>
      <xdr:spPr>
        <a:xfrm>
          <a:off x="46908481" y="243076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958729B-F01E-4FCC-8A60-66BF9590FAE0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53675</xdr:colOff>
      <xdr:row>11</xdr:row>
      <xdr:rowOff>100794</xdr:rowOff>
    </xdr:from>
    <xdr:ext cx="103158" cy="0"/>
    <xdr:cxnSp macro="">
      <xdr:nvCxnSpPr>
        <xdr:cNvPr id="535" name="直線コネクタ 534">
          <a:extLst>
            <a:ext uri="{FF2B5EF4-FFF2-40B4-BE49-F238E27FC236}">
              <a16:creationId xmlns:a16="http://schemas.microsoft.com/office/drawing/2014/main" id="{C76C2377-9B8D-4E65-B8E0-176EE9BBCB68}"/>
            </a:ext>
          </a:extLst>
        </xdr:cNvPr>
        <xdr:cNvCxnSpPr/>
      </xdr:nvCxnSpPr>
      <xdr:spPr>
        <a:xfrm>
          <a:off x="45316475" y="2615394"/>
          <a:ext cx="10315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58753</xdr:colOff>
      <xdr:row>11</xdr:row>
      <xdr:rowOff>81195</xdr:rowOff>
    </xdr:from>
    <xdr:ext cx="0" cy="222582"/>
    <xdr:cxnSp macro="">
      <xdr:nvCxnSpPr>
        <xdr:cNvPr id="536" name="直線コネクタ 535">
          <a:extLst>
            <a:ext uri="{FF2B5EF4-FFF2-40B4-BE49-F238E27FC236}">
              <a16:creationId xmlns:a16="http://schemas.microsoft.com/office/drawing/2014/main" id="{F354EA03-A19A-4657-95E0-B2DCAFFBEEB4}"/>
            </a:ext>
          </a:extLst>
        </xdr:cNvPr>
        <xdr:cNvCxnSpPr/>
      </xdr:nvCxnSpPr>
      <xdr:spPr>
        <a:xfrm>
          <a:off x="45321553" y="2595795"/>
          <a:ext cx="0" cy="22258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159132</xdr:colOff>
      <xdr:row>11</xdr:row>
      <xdr:rowOff>91968</xdr:rowOff>
    </xdr:from>
    <xdr:ext cx="0" cy="58666"/>
    <xdr:cxnSp macro="">
      <xdr:nvCxnSpPr>
        <xdr:cNvPr id="537" name="直線コネクタ 536">
          <a:extLst>
            <a:ext uri="{FF2B5EF4-FFF2-40B4-BE49-F238E27FC236}">
              <a16:creationId xmlns:a16="http://schemas.microsoft.com/office/drawing/2014/main" id="{744A4B72-84E7-439B-8ACC-F849AC14E5F4}"/>
            </a:ext>
          </a:extLst>
        </xdr:cNvPr>
        <xdr:cNvCxnSpPr/>
      </xdr:nvCxnSpPr>
      <xdr:spPr>
        <a:xfrm>
          <a:off x="45421932" y="2606568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30310</xdr:colOff>
      <xdr:row>9</xdr:row>
      <xdr:rowOff>118663</xdr:rowOff>
    </xdr:from>
    <xdr:ext cx="37664" cy="42986"/>
    <xdr:sp macro="" textlink="">
      <xdr:nvSpPr>
        <xdr:cNvPr id="538" name="楕円 537">
          <a:extLst>
            <a:ext uri="{FF2B5EF4-FFF2-40B4-BE49-F238E27FC236}">
              <a16:creationId xmlns:a16="http://schemas.microsoft.com/office/drawing/2014/main" id="{F50F3A34-DB02-4523-97A7-6FC11FF485F1}"/>
            </a:ext>
          </a:extLst>
        </xdr:cNvPr>
        <xdr:cNvSpPr/>
      </xdr:nvSpPr>
      <xdr:spPr>
        <a:xfrm>
          <a:off x="45750310" y="2176063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58365</xdr:colOff>
      <xdr:row>9</xdr:row>
      <xdr:rowOff>203959</xdr:rowOff>
    </xdr:from>
    <xdr:ext cx="197909" cy="0"/>
    <xdr:cxnSp macro="">
      <xdr:nvCxnSpPr>
        <xdr:cNvPr id="539" name="直線コネクタ 538">
          <a:extLst>
            <a:ext uri="{FF2B5EF4-FFF2-40B4-BE49-F238E27FC236}">
              <a16:creationId xmlns:a16="http://schemas.microsoft.com/office/drawing/2014/main" id="{C2B8C790-3BE6-48F0-B514-79C2C762FE78}"/>
            </a:ext>
          </a:extLst>
        </xdr:cNvPr>
        <xdr:cNvCxnSpPr/>
      </xdr:nvCxnSpPr>
      <xdr:spPr>
        <a:xfrm>
          <a:off x="45321165" y="2261359"/>
          <a:ext cx="19790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58753</xdr:colOff>
      <xdr:row>9</xdr:row>
      <xdr:rowOff>177325</xdr:rowOff>
    </xdr:from>
    <xdr:ext cx="0" cy="158789"/>
    <xdr:cxnSp macro="">
      <xdr:nvCxnSpPr>
        <xdr:cNvPr id="540" name="直線コネクタ 539">
          <a:extLst>
            <a:ext uri="{FF2B5EF4-FFF2-40B4-BE49-F238E27FC236}">
              <a16:creationId xmlns:a16="http://schemas.microsoft.com/office/drawing/2014/main" id="{56BE7AFF-9B21-4E01-818B-F957B8338934}"/>
            </a:ext>
          </a:extLst>
        </xdr:cNvPr>
        <xdr:cNvCxnSpPr/>
      </xdr:nvCxnSpPr>
      <xdr:spPr>
        <a:xfrm>
          <a:off x="45321553" y="2234725"/>
          <a:ext cx="0" cy="158789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23977</xdr:colOff>
      <xdr:row>9</xdr:row>
      <xdr:rowOff>183408</xdr:rowOff>
    </xdr:from>
    <xdr:ext cx="0" cy="73822"/>
    <xdr:cxnSp macro="">
      <xdr:nvCxnSpPr>
        <xdr:cNvPr id="541" name="直線コネクタ 540">
          <a:extLst>
            <a:ext uri="{FF2B5EF4-FFF2-40B4-BE49-F238E27FC236}">
              <a16:creationId xmlns:a16="http://schemas.microsoft.com/office/drawing/2014/main" id="{516FBE61-745C-4A03-AD0B-6052DC0AE44C}"/>
            </a:ext>
          </a:extLst>
        </xdr:cNvPr>
        <xdr:cNvCxnSpPr/>
      </xdr:nvCxnSpPr>
      <xdr:spPr>
        <a:xfrm>
          <a:off x="45515377" y="2240808"/>
          <a:ext cx="0" cy="7382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61666</xdr:colOff>
      <xdr:row>8</xdr:row>
      <xdr:rowOff>227181</xdr:rowOff>
    </xdr:from>
    <xdr:ext cx="444352" cy="224998"/>
    <xdr:sp macro="" textlink="$GM$12">
      <xdr:nvSpPr>
        <xdr:cNvPr id="542" name="テキスト ボックス 541">
          <a:extLst>
            <a:ext uri="{FF2B5EF4-FFF2-40B4-BE49-F238E27FC236}">
              <a16:creationId xmlns:a16="http://schemas.microsoft.com/office/drawing/2014/main" id="{D5B2DF05-3EDD-4865-BE35-55AAF4FB5836}"/>
            </a:ext>
          </a:extLst>
        </xdr:cNvPr>
        <xdr:cNvSpPr txBox="1"/>
      </xdr:nvSpPr>
      <xdr:spPr>
        <a:xfrm>
          <a:off x="46956593" y="206619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27882AF-8B14-433A-B50A-536C82E9D91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1.550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58365</xdr:colOff>
      <xdr:row>8</xdr:row>
      <xdr:rowOff>85887</xdr:rowOff>
    </xdr:from>
    <xdr:ext cx="299900" cy="0"/>
    <xdr:cxnSp macro="">
      <xdr:nvCxnSpPr>
        <xdr:cNvPr id="543" name="直線コネクタ 542">
          <a:extLst>
            <a:ext uri="{FF2B5EF4-FFF2-40B4-BE49-F238E27FC236}">
              <a16:creationId xmlns:a16="http://schemas.microsoft.com/office/drawing/2014/main" id="{F916200A-4DE4-4149-AA51-A12573FA4E28}"/>
            </a:ext>
          </a:extLst>
        </xdr:cNvPr>
        <xdr:cNvCxnSpPr/>
      </xdr:nvCxnSpPr>
      <xdr:spPr>
        <a:xfrm>
          <a:off x="45321165" y="1914687"/>
          <a:ext cx="2999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58753</xdr:colOff>
      <xdr:row>8</xdr:row>
      <xdr:rowOff>59253</xdr:rowOff>
    </xdr:from>
    <xdr:ext cx="0" cy="143633"/>
    <xdr:cxnSp macro="">
      <xdr:nvCxnSpPr>
        <xdr:cNvPr id="544" name="直線コネクタ 543">
          <a:extLst>
            <a:ext uri="{FF2B5EF4-FFF2-40B4-BE49-F238E27FC236}">
              <a16:creationId xmlns:a16="http://schemas.microsoft.com/office/drawing/2014/main" id="{53DDBF5B-8530-48A5-8276-BB59CA4D1446}"/>
            </a:ext>
          </a:extLst>
        </xdr:cNvPr>
        <xdr:cNvCxnSpPr/>
      </xdr:nvCxnSpPr>
      <xdr:spPr>
        <a:xfrm>
          <a:off x="45321553" y="1888053"/>
          <a:ext cx="0" cy="14363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128313</xdr:colOff>
      <xdr:row>8</xdr:row>
      <xdr:rowOff>65336</xdr:rowOff>
    </xdr:from>
    <xdr:ext cx="0" cy="58666"/>
    <xdr:cxnSp macro="">
      <xdr:nvCxnSpPr>
        <xdr:cNvPr id="545" name="直線コネクタ 544">
          <a:extLst>
            <a:ext uri="{FF2B5EF4-FFF2-40B4-BE49-F238E27FC236}">
              <a16:creationId xmlns:a16="http://schemas.microsoft.com/office/drawing/2014/main" id="{95E9C567-59DF-4571-AB9D-6C9DC3DD3999}"/>
            </a:ext>
          </a:extLst>
        </xdr:cNvPr>
        <xdr:cNvCxnSpPr/>
      </xdr:nvCxnSpPr>
      <xdr:spPr>
        <a:xfrm>
          <a:off x="45619713" y="1894136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218081</xdr:colOff>
      <xdr:row>8</xdr:row>
      <xdr:rowOff>64950</xdr:rowOff>
    </xdr:from>
    <xdr:ext cx="444352" cy="224998"/>
    <xdr:sp macro="" textlink="$GA$11">
      <xdr:nvSpPr>
        <xdr:cNvPr id="546" name="テキスト ボックス 545">
          <a:extLst>
            <a:ext uri="{FF2B5EF4-FFF2-40B4-BE49-F238E27FC236}">
              <a16:creationId xmlns:a16="http://schemas.microsoft.com/office/drawing/2014/main" id="{3F89F71E-C846-4E29-9537-6F82DFEB20D2}"/>
            </a:ext>
          </a:extLst>
        </xdr:cNvPr>
        <xdr:cNvSpPr txBox="1"/>
      </xdr:nvSpPr>
      <xdr:spPr>
        <a:xfrm>
          <a:off x="46883131" y="190396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F1A0882-C163-4FD5-9542-437632891AD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1.200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205</xdr:col>
      <xdr:colOff>29642</xdr:colOff>
      <xdr:row>9</xdr:row>
      <xdr:rowOff>203966</xdr:rowOff>
    </xdr:from>
    <xdr:ext cx="243045" cy="0"/>
    <xdr:cxnSp macro="">
      <xdr:nvCxnSpPr>
        <xdr:cNvPr id="557" name="直線コネクタ 556">
          <a:extLst>
            <a:ext uri="{FF2B5EF4-FFF2-40B4-BE49-F238E27FC236}">
              <a16:creationId xmlns:a16="http://schemas.microsoft.com/office/drawing/2014/main" id="{430833E6-A1B2-4427-8BAD-D57BF446B44F}"/>
            </a:ext>
          </a:extLst>
        </xdr:cNvPr>
        <xdr:cNvCxnSpPr/>
      </xdr:nvCxnSpPr>
      <xdr:spPr>
        <a:xfrm>
          <a:off x="45521042" y="2261366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45080</xdr:colOff>
      <xdr:row>9</xdr:row>
      <xdr:rowOff>174036</xdr:rowOff>
    </xdr:from>
    <xdr:ext cx="0" cy="57494"/>
    <xdr:cxnSp macro="">
      <xdr:nvCxnSpPr>
        <xdr:cNvPr id="558" name="直線コネクタ 557">
          <a:extLst>
            <a:ext uri="{FF2B5EF4-FFF2-40B4-BE49-F238E27FC236}">
              <a16:creationId xmlns:a16="http://schemas.microsoft.com/office/drawing/2014/main" id="{5715DBC7-17FC-4939-89BF-90DEE3F6A841}"/>
            </a:ext>
          </a:extLst>
        </xdr:cNvPr>
        <xdr:cNvCxnSpPr/>
      </xdr:nvCxnSpPr>
      <xdr:spPr>
        <a:xfrm>
          <a:off x="45765080" y="2231436"/>
          <a:ext cx="0" cy="574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228029</xdr:colOff>
      <xdr:row>9</xdr:row>
      <xdr:rowOff>155443</xdr:rowOff>
    </xdr:from>
    <xdr:ext cx="444352" cy="224998"/>
    <xdr:sp macro="" textlink="$GJ$12">
      <xdr:nvSpPr>
        <xdr:cNvPr id="559" name="テキスト ボックス 558">
          <a:extLst>
            <a:ext uri="{FF2B5EF4-FFF2-40B4-BE49-F238E27FC236}">
              <a16:creationId xmlns:a16="http://schemas.microsoft.com/office/drawing/2014/main" id="{29515F3F-6F9C-4AB1-9001-FFD9D2340287}"/>
            </a:ext>
          </a:extLst>
        </xdr:cNvPr>
        <xdr:cNvSpPr txBox="1"/>
      </xdr:nvSpPr>
      <xdr:spPr>
        <a:xfrm>
          <a:off x="46862429" y="221284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1825096-4743-4288-A67E-410F1EBB437F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205</xdr:col>
      <xdr:colOff>133978</xdr:colOff>
      <xdr:row>8</xdr:row>
      <xdr:rowOff>88241</xdr:rowOff>
    </xdr:from>
    <xdr:ext cx="243044" cy="0"/>
    <xdr:cxnSp macro="">
      <xdr:nvCxnSpPr>
        <xdr:cNvPr id="560" name="直線コネクタ 559">
          <a:extLst>
            <a:ext uri="{FF2B5EF4-FFF2-40B4-BE49-F238E27FC236}">
              <a16:creationId xmlns:a16="http://schemas.microsoft.com/office/drawing/2014/main" id="{439E01F8-1F54-4F84-B900-7ECD0DA5F231}"/>
            </a:ext>
          </a:extLst>
        </xdr:cNvPr>
        <xdr:cNvCxnSpPr/>
      </xdr:nvCxnSpPr>
      <xdr:spPr>
        <a:xfrm>
          <a:off x="45625378" y="1917041"/>
          <a:ext cx="24304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154445</xdr:colOff>
      <xdr:row>8</xdr:row>
      <xdr:rowOff>48933</xdr:rowOff>
    </xdr:from>
    <xdr:ext cx="0" cy="58666"/>
    <xdr:cxnSp macro="">
      <xdr:nvCxnSpPr>
        <xdr:cNvPr id="561" name="直線コネクタ 560">
          <a:extLst>
            <a:ext uri="{FF2B5EF4-FFF2-40B4-BE49-F238E27FC236}">
              <a16:creationId xmlns:a16="http://schemas.microsoft.com/office/drawing/2014/main" id="{94CD416E-B0F4-45F0-BBA9-629F8682147F}"/>
            </a:ext>
          </a:extLst>
        </xdr:cNvPr>
        <xdr:cNvCxnSpPr/>
      </xdr:nvCxnSpPr>
      <xdr:spPr>
        <a:xfrm>
          <a:off x="45874445" y="1877733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64066</xdr:colOff>
      <xdr:row>8</xdr:row>
      <xdr:rowOff>102419</xdr:rowOff>
    </xdr:from>
    <xdr:ext cx="444352" cy="224998"/>
    <xdr:sp macro="" textlink="$GJ$11">
      <xdr:nvSpPr>
        <xdr:cNvPr id="562" name="テキスト ボックス 561">
          <a:extLst>
            <a:ext uri="{FF2B5EF4-FFF2-40B4-BE49-F238E27FC236}">
              <a16:creationId xmlns:a16="http://schemas.microsoft.com/office/drawing/2014/main" id="{ADE5CA28-E206-4D94-A8D4-4B5B5E57DF38}"/>
            </a:ext>
          </a:extLst>
        </xdr:cNvPr>
        <xdr:cNvSpPr txBox="1"/>
      </xdr:nvSpPr>
      <xdr:spPr>
        <a:xfrm>
          <a:off x="47188870" y="194143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DF15899-9630-47CC-9D08-D863E9BAF086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0.630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206</xdr:col>
      <xdr:colOff>100815</xdr:colOff>
      <xdr:row>8</xdr:row>
      <xdr:rowOff>114730</xdr:rowOff>
    </xdr:from>
    <xdr:ext cx="37664" cy="42986"/>
    <xdr:sp macro="" textlink="">
      <xdr:nvSpPr>
        <xdr:cNvPr id="563" name="楕円 562">
          <a:extLst>
            <a:ext uri="{FF2B5EF4-FFF2-40B4-BE49-F238E27FC236}">
              <a16:creationId xmlns:a16="http://schemas.microsoft.com/office/drawing/2014/main" id="{088A0D23-6379-42F0-91A9-9C9574F85706}"/>
            </a:ext>
          </a:extLst>
        </xdr:cNvPr>
        <xdr:cNvSpPr/>
      </xdr:nvSpPr>
      <xdr:spPr>
        <a:xfrm>
          <a:off x="47192415" y="1943530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157423</xdr:colOff>
      <xdr:row>11</xdr:row>
      <xdr:rowOff>96112</xdr:rowOff>
    </xdr:from>
    <xdr:ext cx="243045" cy="0"/>
    <xdr:cxnSp macro="">
      <xdr:nvCxnSpPr>
        <xdr:cNvPr id="564" name="直線コネクタ 563">
          <a:extLst>
            <a:ext uri="{FF2B5EF4-FFF2-40B4-BE49-F238E27FC236}">
              <a16:creationId xmlns:a16="http://schemas.microsoft.com/office/drawing/2014/main" id="{53A414A9-9BF7-4206-8502-2FB5A6ECB6EA}"/>
            </a:ext>
          </a:extLst>
        </xdr:cNvPr>
        <xdr:cNvCxnSpPr/>
      </xdr:nvCxnSpPr>
      <xdr:spPr>
        <a:xfrm>
          <a:off x="45420223" y="2610712"/>
          <a:ext cx="24304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170516</xdr:colOff>
      <xdr:row>11</xdr:row>
      <xdr:rowOff>56804</xdr:rowOff>
    </xdr:from>
    <xdr:ext cx="0" cy="58666"/>
    <xdr:cxnSp macro="">
      <xdr:nvCxnSpPr>
        <xdr:cNvPr id="565" name="直線コネクタ 564">
          <a:extLst>
            <a:ext uri="{FF2B5EF4-FFF2-40B4-BE49-F238E27FC236}">
              <a16:creationId xmlns:a16="http://schemas.microsoft.com/office/drawing/2014/main" id="{AEAAD3E3-5EC7-4E46-BCA2-A13D0572A708}"/>
            </a:ext>
          </a:extLst>
        </xdr:cNvPr>
        <xdr:cNvCxnSpPr/>
      </xdr:nvCxnSpPr>
      <xdr:spPr>
        <a:xfrm>
          <a:off x="45661916" y="2571404"/>
          <a:ext cx="0" cy="5866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145512</xdr:colOff>
      <xdr:row>12</xdr:row>
      <xdr:rowOff>35662</xdr:rowOff>
    </xdr:from>
    <xdr:ext cx="444352" cy="224998"/>
    <xdr:sp macro="" textlink="$GJ$14">
      <xdr:nvSpPr>
        <xdr:cNvPr id="566" name="テキスト ボックス 565">
          <a:extLst>
            <a:ext uri="{FF2B5EF4-FFF2-40B4-BE49-F238E27FC236}">
              <a16:creationId xmlns:a16="http://schemas.microsoft.com/office/drawing/2014/main" id="{DDBEF931-6D84-42B6-94EB-6DD4C11AF279}"/>
            </a:ext>
          </a:extLst>
        </xdr:cNvPr>
        <xdr:cNvSpPr txBox="1"/>
      </xdr:nvSpPr>
      <xdr:spPr>
        <a:xfrm>
          <a:off x="46810562" y="279418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DC3C5BF-9D7B-406E-8327-50FCFB7C9E7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205</xdr:col>
      <xdr:colOff>154575</xdr:colOff>
      <xdr:row>11</xdr:row>
      <xdr:rowOff>13742</xdr:rowOff>
    </xdr:from>
    <xdr:ext cx="37664" cy="42986"/>
    <xdr:sp macro="" textlink="">
      <xdr:nvSpPr>
        <xdr:cNvPr id="568" name="楕円 567">
          <a:extLst>
            <a:ext uri="{FF2B5EF4-FFF2-40B4-BE49-F238E27FC236}">
              <a16:creationId xmlns:a16="http://schemas.microsoft.com/office/drawing/2014/main" id="{28E0D42F-B3A5-4D61-97F4-DCCED75F461A}"/>
            </a:ext>
          </a:extLst>
        </xdr:cNvPr>
        <xdr:cNvSpPr/>
      </xdr:nvSpPr>
      <xdr:spPr>
        <a:xfrm>
          <a:off x="45645975" y="2528342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66540</xdr:colOff>
      <xdr:row>12</xdr:row>
      <xdr:rowOff>218836</xdr:rowOff>
    </xdr:from>
    <xdr:ext cx="227093" cy="1138"/>
    <xdr:cxnSp macro="">
      <xdr:nvCxnSpPr>
        <xdr:cNvPr id="573" name="直線コネクタ 572">
          <a:extLst>
            <a:ext uri="{FF2B5EF4-FFF2-40B4-BE49-F238E27FC236}">
              <a16:creationId xmlns:a16="http://schemas.microsoft.com/office/drawing/2014/main" id="{DB0D1810-2443-4A93-82DA-3AD365AF604B}"/>
            </a:ext>
          </a:extLst>
        </xdr:cNvPr>
        <xdr:cNvCxnSpPr/>
      </xdr:nvCxnSpPr>
      <xdr:spPr>
        <a:xfrm>
          <a:off x="45329340" y="2962036"/>
          <a:ext cx="227093" cy="1138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69286</xdr:colOff>
      <xdr:row>12</xdr:row>
      <xdr:rowOff>182344</xdr:rowOff>
    </xdr:from>
    <xdr:ext cx="0" cy="94409"/>
    <xdr:cxnSp macro="">
      <xdr:nvCxnSpPr>
        <xdr:cNvPr id="574" name="直線コネクタ 573">
          <a:extLst>
            <a:ext uri="{FF2B5EF4-FFF2-40B4-BE49-F238E27FC236}">
              <a16:creationId xmlns:a16="http://schemas.microsoft.com/office/drawing/2014/main" id="{6390C7A4-D12B-4C42-B4CB-52B23D62C6B6}"/>
            </a:ext>
          </a:extLst>
        </xdr:cNvPr>
        <xdr:cNvCxnSpPr/>
      </xdr:nvCxnSpPr>
      <xdr:spPr>
        <a:xfrm>
          <a:off x="47194090" y="2940869"/>
          <a:ext cx="0" cy="94409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62223</xdr:colOff>
      <xdr:row>12</xdr:row>
      <xdr:rowOff>207628</xdr:rowOff>
    </xdr:from>
    <xdr:ext cx="0" cy="74995"/>
    <xdr:cxnSp macro="">
      <xdr:nvCxnSpPr>
        <xdr:cNvPr id="575" name="直線コネクタ 574">
          <a:extLst>
            <a:ext uri="{FF2B5EF4-FFF2-40B4-BE49-F238E27FC236}">
              <a16:creationId xmlns:a16="http://schemas.microsoft.com/office/drawing/2014/main" id="{3F307117-7A8A-4AA8-9613-18BE8ABB7048}"/>
            </a:ext>
          </a:extLst>
        </xdr:cNvPr>
        <xdr:cNvCxnSpPr/>
      </xdr:nvCxnSpPr>
      <xdr:spPr>
        <a:xfrm>
          <a:off x="45325023" y="2950828"/>
          <a:ext cx="0" cy="7499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211409</xdr:colOff>
      <xdr:row>11</xdr:row>
      <xdr:rowOff>66528</xdr:rowOff>
    </xdr:from>
    <xdr:ext cx="444352" cy="224998"/>
    <xdr:sp macro="" textlink="$GJ$13">
      <xdr:nvSpPr>
        <xdr:cNvPr id="576" name="テキスト ボックス 575">
          <a:extLst>
            <a:ext uri="{FF2B5EF4-FFF2-40B4-BE49-F238E27FC236}">
              <a16:creationId xmlns:a16="http://schemas.microsoft.com/office/drawing/2014/main" id="{BBD46C90-C02C-4D61-80E0-5F10847B230B}"/>
            </a:ext>
          </a:extLst>
        </xdr:cNvPr>
        <xdr:cNvSpPr txBox="1"/>
      </xdr:nvSpPr>
      <xdr:spPr>
        <a:xfrm>
          <a:off x="47106336" y="259517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DF983A9-AC43-4B2D-A47B-0CC0A92F778A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0.750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208</xdr:col>
      <xdr:colOff>65090</xdr:colOff>
      <xdr:row>8</xdr:row>
      <xdr:rowOff>74345</xdr:rowOff>
    </xdr:from>
    <xdr:ext cx="0" cy="1324966"/>
    <xdr:cxnSp macro="">
      <xdr:nvCxnSpPr>
        <xdr:cNvPr id="578" name="直線コネクタ 577">
          <a:extLst>
            <a:ext uri="{FF2B5EF4-FFF2-40B4-BE49-F238E27FC236}">
              <a16:creationId xmlns:a16="http://schemas.microsoft.com/office/drawing/2014/main" id="{4C7BF3F2-C39B-4228-9EDB-7BD519C9D8FA}"/>
            </a:ext>
          </a:extLst>
        </xdr:cNvPr>
        <xdr:cNvCxnSpPr/>
      </xdr:nvCxnSpPr>
      <xdr:spPr>
        <a:xfrm>
          <a:off x="46242290" y="1903145"/>
          <a:ext cx="0" cy="132496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115251</xdr:colOff>
      <xdr:row>8</xdr:row>
      <xdr:rowOff>73137</xdr:rowOff>
    </xdr:from>
    <xdr:ext cx="1191088" cy="0"/>
    <xdr:cxnSp macro="">
      <xdr:nvCxnSpPr>
        <xdr:cNvPr id="579" name="直線コネクタ 578">
          <a:extLst>
            <a:ext uri="{FF2B5EF4-FFF2-40B4-BE49-F238E27FC236}">
              <a16:creationId xmlns:a16="http://schemas.microsoft.com/office/drawing/2014/main" id="{1E6EBDA0-A9F2-4970-A733-A79FAC79D214}"/>
            </a:ext>
          </a:extLst>
        </xdr:cNvPr>
        <xdr:cNvCxnSpPr/>
      </xdr:nvCxnSpPr>
      <xdr:spPr>
        <a:xfrm>
          <a:off x="45378051" y="1901937"/>
          <a:ext cx="119108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208</xdr:col>
      <xdr:colOff>157801</xdr:colOff>
      <xdr:row>8</xdr:row>
      <xdr:rowOff>99979</xdr:rowOff>
    </xdr:from>
    <xdr:ext cx="167392" cy="0"/>
    <xdr:cxnSp macro="">
      <xdr:nvCxnSpPr>
        <xdr:cNvPr id="580" name="直線コネクタ 579">
          <a:extLst>
            <a:ext uri="{FF2B5EF4-FFF2-40B4-BE49-F238E27FC236}">
              <a16:creationId xmlns:a16="http://schemas.microsoft.com/office/drawing/2014/main" id="{F4A7335E-573B-4F2C-B39B-DC06BD4301E0}"/>
            </a:ext>
          </a:extLst>
        </xdr:cNvPr>
        <xdr:cNvCxnSpPr/>
      </xdr:nvCxnSpPr>
      <xdr:spPr>
        <a:xfrm>
          <a:off x="46335001" y="1928779"/>
          <a:ext cx="167392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208</xdr:col>
      <xdr:colOff>221262</xdr:colOff>
      <xdr:row>8</xdr:row>
      <xdr:rowOff>151552</xdr:rowOff>
    </xdr:from>
    <xdr:ext cx="42779" cy="0"/>
    <xdr:cxnSp macro="">
      <xdr:nvCxnSpPr>
        <xdr:cNvPr id="581" name="直線コネクタ 580">
          <a:extLst>
            <a:ext uri="{FF2B5EF4-FFF2-40B4-BE49-F238E27FC236}">
              <a16:creationId xmlns:a16="http://schemas.microsoft.com/office/drawing/2014/main" id="{7BF43FDC-BD40-4B7B-9C3F-47C8B26D2ECE}"/>
            </a:ext>
          </a:extLst>
        </xdr:cNvPr>
        <xdr:cNvCxnSpPr/>
      </xdr:nvCxnSpPr>
      <xdr:spPr>
        <a:xfrm>
          <a:off x="46398462" y="1980352"/>
          <a:ext cx="42779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208</xdr:col>
      <xdr:colOff>199872</xdr:colOff>
      <xdr:row>8</xdr:row>
      <xdr:rowOff>27643</xdr:rowOff>
    </xdr:from>
    <xdr:ext cx="82072" cy="45161"/>
    <xdr:sp macro="" textlink="">
      <xdr:nvSpPr>
        <xdr:cNvPr id="582" name="二等辺三角形 581">
          <a:extLst>
            <a:ext uri="{FF2B5EF4-FFF2-40B4-BE49-F238E27FC236}">
              <a16:creationId xmlns:a16="http://schemas.microsoft.com/office/drawing/2014/main" id="{F59E8383-CFCE-4E2D-8E3B-71BD8331ED06}"/>
            </a:ext>
          </a:extLst>
        </xdr:cNvPr>
        <xdr:cNvSpPr/>
      </xdr:nvSpPr>
      <xdr:spPr>
        <a:xfrm rot="10800000">
          <a:off x="46377072" y="1856443"/>
          <a:ext cx="82072" cy="45161"/>
        </a:xfrm>
        <a:prstGeom prst="triangl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208</xdr:col>
      <xdr:colOff>50595</xdr:colOff>
      <xdr:row>10</xdr:row>
      <xdr:rowOff>169585</xdr:rowOff>
    </xdr:from>
    <xdr:ext cx="224998" cy="387607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3A43302C-36E4-446E-8161-608BC2BC62E8}"/>
            </a:ext>
          </a:extLst>
        </xdr:cNvPr>
        <xdr:cNvSpPr txBox="1"/>
      </xdr:nvSpPr>
      <xdr:spPr>
        <a:xfrm rot="16200000">
          <a:off x="46146490" y="2536890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208</xdr:col>
      <xdr:colOff>70407</xdr:colOff>
      <xdr:row>9</xdr:row>
      <xdr:rowOff>88172</xdr:rowOff>
    </xdr:from>
    <xdr:ext cx="224998" cy="444352"/>
    <xdr:sp macro="" textlink="'1.設計条件'!T37">
      <xdr:nvSpPr>
        <xdr:cNvPr id="584" name="テキスト ボックス 583">
          <a:extLst>
            <a:ext uri="{FF2B5EF4-FFF2-40B4-BE49-F238E27FC236}">
              <a16:creationId xmlns:a16="http://schemas.microsoft.com/office/drawing/2014/main" id="{D7F24899-2E9B-42FB-A2A2-44E892DFA190}"/>
            </a:ext>
          </a:extLst>
        </xdr:cNvPr>
        <xdr:cNvSpPr txBox="1"/>
      </xdr:nvSpPr>
      <xdr:spPr>
        <a:xfrm rot="16200000">
          <a:off x="46137930" y="22552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BF304FE-3100-4B6B-BE8D-612CE2AFB62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3.700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208</xdr:col>
      <xdr:colOff>190305</xdr:colOff>
      <xdr:row>8</xdr:row>
      <xdr:rowOff>126649</xdr:rowOff>
    </xdr:from>
    <xdr:ext cx="98248" cy="0"/>
    <xdr:cxnSp macro="">
      <xdr:nvCxnSpPr>
        <xdr:cNvPr id="585" name="直線コネクタ 584">
          <a:extLst>
            <a:ext uri="{FF2B5EF4-FFF2-40B4-BE49-F238E27FC236}">
              <a16:creationId xmlns:a16="http://schemas.microsoft.com/office/drawing/2014/main" id="{9352E994-C74A-4BB3-B975-8BA980258736}"/>
            </a:ext>
          </a:extLst>
        </xdr:cNvPr>
        <xdr:cNvCxnSpPr/>
      </xdr:nvCxnSpPr>
      <xdr:spPr>
        <a:xfrm>
          <a:off x="46367505" y="1955449"/>
          <a:ext cx="9824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206</xdr:col>
      <xdr:colOff>219343</xdr:colOff>
      <xdr:row>14</xdr:row>
      <xdr:rowOff>28999</xdr:rowOff>
    </xdr:from>
    <xdr:ext cx="392805" cy="0"/>
    <xdr:cxnSp macro="">
      <xdr:nvCxnSpPr>
        <xdr:cNvPr id="586" name="直線コネクタ 585">
          <a:extLst>
            <a:ext uri="{FF2B5EF4-FFF2-40B4-BE49-F238E27FC236}">
              <a16:creationId xmlns:a16="http://schemas.microsoft.com/office/drawing/2014/main" id="{6B117EAE-B4EF-40D6-BFE8-295AE4F85F11}"/>
            </a:ext>
          </a:extLst>
        </xdr:cNvPr>
        <xdr:cNvCxnSpPr/>
      </xdr:nvCxnSpPr>
      <xdr:spPr>
        <a:xfrm>
          <a:off x="45939343" y="3229399"/>
          <a:ext cx="39280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59</xdr:col>
      <xdr:colOff>127160</xdr:colOff>
      <xdr:row>4</xdr:row>
      <xdr:rowOff>104397</xdr:rowOff>
    </xdr:from>
    <xdr:ext cx="444352" cy="224998"/>
    <xdr:sp macro="" textlink="$AW$9">
      <xdr:nvSpPr>
        <xdr:cNvPr id="449" name="テキスト ボックス 448">
          <a:extLst>
            <a:ext uri="{FF2B5EF4-FFF2-40B4-BE49-F238E27FC236}">
              <a16:creationId xmlns:a16="http://schemas.microsoft.com/office/drawing/2014/main" id="{4206BBE6-7901-CD1D-80F9-3B43DE9910A7}"/>
            </a:ext>
          </a:extLst>
        </xdr:cNvPr>
        <xdr:cNvSpPr txBox="1"/>
      </xdr:nvSpPr>
      <xdr:spPr>
        <a:xfrm>
          <a:off x="13689909" y="102390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087007A-1E24-4579-B0B1-D72E39A7950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1.110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94</xdr:col>
      <xdr:colOff>114802</xdr:colOff>
      <xdr:row>4</xdr:row>
      <xdr:rowOff>110078</xdr:rowOff>
    </xdr:from>
    <xdr:ext cx="444352" cy="224998"/>
    <xdr:sp macro="" textlink="$CF$9">
      <xdr:nvSpPr>
        <xdr:cNvPr id="481" name="テキスト ボックス 480">
          <a:extLst>
            <a:ext uri="{FF2B5EF4-FFF2-40B4-BE49-F238E27FC236}">
              <a16:creationId xmlns:a16="http://schemas.microsoft.com/office/drawing/2014/main" id="{1AFE3249-4BE4-5DDC-41A1-F23EC6D4AFF7}"/>
            </a:ext>
          </a:extLst>
        </xdr:cNvPr>
        <xdr:cNvSpPr txBox="1"/>
      </xdr:nvSpPr>
      <xdr:spPr>
        <a:xfrm>
          <a:off x="21723249" y="102958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154D59B-59BF-4519-924D-BD3F34F86AB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1.510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93</xdr:col>
      <xdr:colOff>118496</xdr:colOff>
      <xdr:row>6</xdr:row>
      <xdr:rowOff>140357</xdr:rowOff>
    </xdr:from>
    <xdr:ext cx="444352" cy="224998"/>
    <xdr:sp macro="" textlink="$BZ$10">
      <xdr:nvSpPr>
        <xdr:cNvPr id="482" name="テキスト ボックス 481">
          <a:extLst>
            <a:ext uri="{FF2B5EF4-FFF2-40B4-BE49-F238E27FC236}">
              <a16:creationId xmlns:a16="http://schemas.microsoft.com/office/drawing/2014/main" id="{716F2234-9788-F850-4A77-87F4A2E8A061}"/>
            </a:ext>
          </a:extLst>
        </xdr:cNvPr>
        <xdr:cNvSpPr txBox="1"/>
      </xdr:nvSpPr>
      <xdr:spPr>
        <a:xfrm>
          <a:off x="21497066" y="151962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FABC89F-0F79-45A2-B877-7C2A85E5D19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128</xdr:col>
      <xdr:colOff>193956</xdr:colOff>
      <xdr:row>5</xdr:row>
      <xdr:rowOff>12144</xdr:rowOff>
    </xdr:from>
    <xdr:ext cx="444352" cy="224998"/>
    <xdr:sp macro="" textlink="$DI$9">
      <xdr:nvSpPr>
        <xdr:cNvPr id="484" name="テキスト ボックス 483">
          <a:extLst>
            <a:ext uri="{FF2B5EF4-FFF2-40B4-BE49-F238E27FC236}">
              <a16:creationId xmlns:a16="http://schemas.microsoft.com/office/drawing/2014/main" id="{E10F8770-60B5-FD89-8444-78FA9C6F4363}"/>
            </a:ext>
          </a:extLst>
        </xdr:cNvPr>
        <xdr:cNvSpPr txBox="1"/>
      </xdr:nvSpPr>
      <xdr:spPr>
        <a:xfrm>
          <a:off x="29618224" y="11615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77A4593-E2FE-4132-AFC0-616B5B6D34D2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1.200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128</xdr:col>
      <xdr:colOff>114827</xdr:colOff>
      <xdr:row>6</xdr:row>
      <xdr:rowOff>146014</xdr:rowOff>
    </xdr:from>
    <xdr:ext cx="444352" cy="224998"/>
    <xdr:sp macro="" textlink="$DI$10">
      <xdr:nvSpPr>
        <xdr:cNvPr id="485" name="テキスト ボックス 484">
          <a:extLst>
            <a:ext uri="{FF2B5EF4-FFF2-40B4-BE49-F238E27FC236}">
              <a16:creationId xmlns:a16="http://schemas.microsoft.com/office/drawing/2014/main" id="{F265F15A-9326-3EF1-B4FB-8B220A4079C6}"/>
            </a:ext>
          </a:extLst>
        </xdr:cNvPr>
        <xdr:cNvSpPr txBox="1"/>
      </xdr:nvSpPr>
      <xdr:spPr>
        <a:xfrm>
          <a:off x="29539095" y="152527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08517DF-91B1-4AB9-A13B-114B29BBE91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128</xdr:col>
      <xdr:colOff>5363</xdr:colOff>
      <xdr:row>8</xdr:row>
      <xdr:rowOff>44737</xdr:rowOff>
    </xdr:from>
    <xdr:ext cx="444352" cy="224998"/>
    <xdr:sp macro="" textlink="$DI$11">
      <xdr:nvSpPr>
        <xdr:cNvPr id="486" name="テキスト ボックス 485">
          <a:extLst>
            <a:ext uri="{FF2B5EF4-FFF2-40B4-BE49-F238E27FC236}">
              <a16:creationId xmlns:a16="http://schemas.microsoft.com/office/drawing/2014/main" id="{A2603577-78A4-8124-45BD-1836FE8643B0}"/>
            </a:ext>
          </a:extLst>
        </xdr:cNvPr>
        <xdr:cNvSpPr txBox="1"/>
      </xdr:nvSpPr>
      <xdr:spPr>
        <a:xfrm>
          <a:off x="29429631" y="188375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5F681B9-4483-4D7D-9F2E-72038B7ACEEA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135</xdr:col>
      <xdr:colOff>21198</xdr:colOff>
      <xdr:row>8</xdr:row>
      <xdr:rowOff>102711</xdr:rowOff>
    </xdr:from>
    <xdr:ext cx="444352" cy="224998"/>
    <xdr:sp macro="" textlink="$DR$11">
      <xdr:nvSpPr>
        <xdr:cNvPr id="487" name="テキスト ボックス 486">
          <a:extLst>
            <a:ext uri="{FF2B5EF4-FFF2-40B4-BE49-F238E27FC236}">
              <a16:creationId xmlns:a16="http://schemas.microsoft.com/office/drawing/2014/main" id="{B57B53FE-AC72-1DEB-EB49-BD573064269D}"/>
            </a:ext>
          </a:extLst>
        </xdr:cNvPr>
        <xdr:cNvSpPr txBox="1"/>
      </xdr:nvSpPr>
      <xdr:spPr>
        <a:xfrm>
          <a:off x="31054606" y="19417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B4F3183-9D28-4ADD-9222-D976232A9E31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0.630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163</xdr:col>
      <xdr:colOff>202062</xdr:colOff>
      <xdr:row>5</xdr:row>
      <xdr:rowOff>785</xdr:rowOff>
    </xdr:from>
    <xdr:ext cx="444352" cy="224998"/>
    <xdr:sp macro="" textlink="$ER$9">
      <xdr:nvSpPr>
        <xdr:cNvPr id="488" name="テキスト ボックス 487">
          <a:extLst>
            <a:ext uri="{FF2B5EF4-FFF2-40B4-BE49-F238E27FC236}">
              <a16:creationId xmlns:a16="http://schemas.microsoft.com/office/drawing/2014/main" id="{4EBE0408-F1AA-70D2-DB3A-DD97F080A179}"/>
            </a:ext>
          </a:extLst>
        </xdr:cNvPr>
        <xdr:cNvSpPr txBox="1"/>
      </xdr:nvSpPr>
      <xdr:spPr>
        <a:xfrm>
          <a:off x="37672028" y="115017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DD4485-7EB9-4845-A5C0-245DBAE9CF66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1.600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163</xdr:col>
      <xdr:colOff>130333</xdr:colOff>
      <xdr:row>6</xdr:row>
      <xdr:rowOff>143520</xdr:rowOff>
    </xdr:from>
    <xdr:ext cx="444352" cy="224998"/>
    <xdr:sp macro="" textlink="$ER$10">
      <xdr:nvSpPr>
        <xdr:cNvPr id="489" name="テキスト ボックス 488">
          <a:extLst>
            <a:ext uri="{FF2B5EF4-FFF2-40B4-BE49-F238E27FC236}">
              <a16:creationId xmlns:a16="http://schemas.microsoft.com/office/drawing/2014/main" id="{A6A14650-C630-ED36-D3F8-B3D075E5F184}"/>
            </a:ext>
          </a:extLst>
        </xdr:cNvPr>
        <xdr:cNvSpPr txBox="1"/>
      </xdr:nvSpPr>
      <xdr:spPr>
        <a:xfrm>
          <a:off x="37600299" y="152278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6F788E3-5CE6-476E-8DDD-76FC31041DB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1.200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163</xdr:col>
      <xdr:colOff>30977</xdr:colOff>
      <xdr:row>8</xdr:row>
      <xdr:rowOff>49849</xdr:rowOff>
    </xdr:from>
    <xdr:ext cx="444352" cy="224998"/>
    <xdr:sp macro="" textlink="$ER$11">
      <xdr:nvSpPr>
        <xdr:cNvPr id="490" name="テキスト ボックス 489">
          <a:extLst>
            <a:ext uri="{FF2B5EF4-FFF2-40B4-BE49-F238E27FC236}">
              <a16:creationId xmlns:a16="http://schemas.microsoft.com/office/drawing/2014/main" id="{C0FF7772-F514-6FBD-B175-082A41A127B6}"/>
            </a:ext>
          </a:extLst>
        </xdr:cNvPr>
        <xdr:cNvSpPr txBox="1"/>
      </xdr:nvSpPr>
      <xdr:spPr>
        <a:xfrm>
          <a:off x="37500943" y="188886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4C79409-7AAF-4F44-A0A9-6CBACDE45741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162</xdr:col>
      <xdr:colOff>157418</xdr:colOff>
      <xdr:row>9</xdr:row>
      <xdr:rowOff>155705</xdr:rowOff>
    </xdr:from>
    <xdr:ext cx="444352" cy="224998"/>
    <xdr:sp macro="" textlink="$ER$12">
      <xdr:nvSpPr>
        <xdr:cNvPr id="501" name="テキスト ボックス 500">
          <a:extLst>
            <a:ext uri="{FF2B5EF4-FFF2-40B4-BE49-F238E27FC236}">
              <a16:creationId xmlns:a16="http://schemas.microsoft.com/office/drawing/2014/main" id="{23581DF0-FA87-D48E-855A-8F68AC56F5A8}"/>
            </a:ext>
          </a:extLst>
        </xdr:cNvPr>
        <xdr:cNvSpPr txBox="1"/>
      </xdr:nvSpPr>
      <xdr:spPr>
        <a:xfrm>
          <a:off x="37397507" y="222459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24636DB-BD67-4ABB-A3EC-F989EB98505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169</xdr:col>
      <xdr:colOff>175715</xdr:colOff>
      <xdr:row>7</xdr:row>
      <xdr:rowOff>126474</xdr:rowOff>
    </xdr:from>
    <xdr:ext cx="444352" cy="224998"/>
    <xdr:sp macro="" textlink="$FD$11">
      <xdr:nvSpPr>
        <xdr:cNvPr id="503" name="テキスト ボックス 502">
          <a:extLst>
            <a:ext uri="{FF2B5EF4-FFF2-40B4-BE49-F238E27FC236}">
              <a16:creationId xmlns:a16="http://schemas.microsoft.com/office/drawing/2014/main" id="{CF484725-AF47-7970-84FE-17FB6358E8ED}"/>
            </a:ext>
          </a:extLst>
        </xdr:cNvPr>
        <xdr:cNvSpPr txBox="1"/>
      </xdr:nvSpPr>
      <xdr:spPr>
        <a:xfrm>
          <a:off x="39024944" y="173561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A75CA62-6AEB-4957-8A1B-CC31FB09E25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1.430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168</xdr:col>
      <xdr:colOff>148904</xdr:colOff>
      <xdr:row>9</xdr:row>
      <xdr:rowOff>164220</xdr:rowOff>
    </xdr:from>
    <xdr:ext cx="444352" cy="224998"/>
    <xdr:sp macro="" textlink="$ER$12">
      <xdr:nvSpPr>
        <xdr:cNvPr id="504" name="テキスト ボックス 503">
          <a:extLst>
            <a:ext uri="{FF2B5EF4-FFF2-40B4-BE49-F238E27FC236}">
              <a16:creationId xmlns:a16="http://schemas.microsoft.com/office/drawing/2014/main" id="{58DFEFC2-D890-D9B1-7187-BB9AF07BDD6F}"/>
            </a:ext>
          </a:extLst>
        </xdr:cNvPr>
        <xdr:cNvSpPr txBox="1"/>
      </xdr:nvSpPr>
      <xdr:spPr>
        <a:xfrm>
          <a:off x="38768256" y="223311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24636DB-BD67-4ABB-A3EC-F989EB98505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130421</xdr:colOff>
      <xdr:row>4</xdr:row>
      <xdr:rowOff>222004</xdr:rowOff>
    </xdr:from>
    <xdr:ext cx="444352" cy="224998"/>
    <xdr:sp macro="" textlink="$GA$9">
      <xdr:nvSpPr>
        <xdr:cNvPr id="505" name="テキスト ボックス 504">
          <a:extLst>
            <a:ext uri="{FF2B5EF4-FFF2-40B4-BE49-F238E27FC236}">
              <a16:creationId xmlns:a16="http://schemas.microsoft.com/office/drawing/2014/main" id="{A27B1583-4EE8-E813-6854-322E74BFFF28}"/>
            </a:ext>
          </a:extLst>
        </xdr:cNvPr>
        <xdr:cNvSpPr txBox="1"/>
      </xdr:nvSpPr>
      <xdr:spPr>
        <a:xfrm>
          <a:off x="45646086" y="114151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A2F7F48-A161-4663-9B7B-109B0927440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2.000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198</xdr:col>
      <xdr:colOff>69586</xdr:colOff>
      <xdr:row>6</xdr:row>
      <xdr:rowOff>132692</xdr:rowOff>
    </xdr:from>
    <xdr:ext cx="444352" cy="224998"/>
    <xdr:sp macro="" textlink="$GA$10">
      <xdr:nvSpPr>
        <xdr:cNvPr id="506" name="テキスト ボックス 505">
          <a:extLst>
            <a:ext uri="{FF2B5EF4-FFF2-40B4-BE49-F238E27FC236}">
              <a16:creationId xmlns:a16="http://schemas.microsoft.com/office/drawing/2014/main" id="{64FE8B43-3F57-E143-D2E8-367C4A6EA8C1}"/>
            </a:ext>
          </a:extLst>
        </xdr:cNvPr>
        <xdr:cNvSpPr txBox="1"/>
      </xdr:nvSpPr>
      <xdr:spPr>
        <a:xfrm>
          <a:off x="45585251" y="15119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0C469D4-E6CD-4427-BB3C-ED2F09A8F797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1.600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197</xdr:col>
      <xdr:colOff>226595</xdr:colOff>
      <xdr:row>8</xdr:row>
      <xdr:rowOff>39408</xdr:rowOff>
    </xdr:from>
    <xdr:ext cx="444352" cy="224998"/>
    <xdr:sp macro="" textlink="$GA$11">
      <xdr:nvSpPr>
        <xdr:cNvPr id="508" name="テキスト ボックス 507">
          <a:extLst>
            <a:ext uri="{FF2B5EF4-FFF2-40B4-BE49-F238E27FC236}">
              <a16:creationId xmlns:a16="http://schemas.microsoft.com/office/drawing/2014/main" id="{D9F75061-91D4-6581-C9EA-0B17000D2356}"/>
            </a:ext>
          </a:extLst>
        </xdr:cNvPr>
        <xdr:cNvSpPr txBox="1"/>
      </xdr:nvSpPr>
      <xdr:spPr>
        <a:xfrm>
          <a:off x="45512383" y="18784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F1A0882-C163-4FD5-9542-437632891AD9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1.200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197</xdr:col>
      <xdr:colOff>146806</xdr:colOff>
      <xdr:row>9</xdr:row>
      <xdr:rowOff>163327</xdr:rowOff>
    </xdr:from>
    <xdr:ext cx="444352" cy="224998"/>
    <xdr:sp macro="" textlink="$GA$12">
      <xdr:nvSpPr>
        <xdr:cNvPr id="518" name="テキスト ボックス 517">
          <a:extLst>
            <a:ext uri="{FF2B5EF4-FFF2-40B4-BE49-F238E27FC236}">
              <a16:creationId xmlns:a16="http://schemas.microsoft.com/office/drawing/2014/main" id="{EDAB6731-C187-2779-A953-B91EBD24E7B1}"/>
            </a:ext>
          </a:extLst>
        </xdr:cNvPr>
        <xdr:cNvSpPr txBox="1"/>
      </xdr:nvSpPr>
      <xdr:spPr>
        <a:xfrm>
          <a:off x="45432594" y="22322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D79B27E-5D80-40EF-BCC5-AC8CB2777A4C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197</xdr:col>
      <xdr:colOff>141263</xdr:colOff>
      <xdr:row>11</xdr:row>
      <xdr:rowOff>42598</xdr:rowOff>
    </xdr:from>
    <xdr:ext cx="444352" cy="224998"/>
    <xdr:sp macro="" textlink="$GA$13">
      <xdr:nvSpPr>
        <xdr:cNvPr id="519" name="テキスト ボックス 518">
          <a:extLst>
            <a:ext uri="{FF2B5EF4-FFF2-40B4-BE49-F238E27FC236}">
              <a16:creationId xmlns:a16="http://schemas.microsoft.com/office/drawing/2014/main" id="{D2388E43-42DD-F231-8047-D6A94EE48689}"/>
            </a:ext>
          </a:extLst>
        </xdr:cNvPr>
        <xdr:cNvSpPr txBox="1"/>
      </xdr:nvSpPr>
      <xdr:spPr>
        <a:xfrm>
          <a:off x="45427051" y="25712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54DE6C-5B5F-4E2A-9609-88251A364A3C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203</xdr:col>
      <xdr:colOff>142549</xdr:colOff>
      <xdr:row>9</xdr:row>
      <xdr:rowOff>163327</xdr:rowOff>
    </xdr:from>
    <xdr:ext cx="444352" cy="224998"/>
    <xdr:sp macro="" textlink="$GA$12">
      <xdr:nvSpPr>
        <xdr:cNvPr id="520" name="テキスト ボックス 519">
          <a:extLst>
            <a:ext uri="{FF2B5EF4-FFF2-40B4-BE49-F238E27FC236}">
              <a16:creationId xmlns:a16="http://schemas.microsoft.com/office/drawing/2014/main" id="{6EEA0BDA-9228-6478-0094-36D3FBB34D23}"/>
            </a:ext>
          </a:extLst>
        </xdr:cNvPr>
        <xdr:cNvSpPr txBox="1"/>
      </xdr:nvSpPr>
      <xdr:spPr>
        <a:xfrm>
          <a:off x="46807599" y="22322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D79B27E-5D80-40EF-BCC5-AC8CB2777A4C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0.800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94629</xdr:colOff>
      <xdr:row>7</xdr:row>
      <xdr:rowOff>103263</xdr:rowOff>
    </xdr:from>
    <xdr:ext cx="444352" cy="224998"/>
    <xdr:sp macro="" textlink="$GM$11">
      <xdr:nvSpPr>
        <xdr:cNvPr id="547" name="テキスト ボックス 546">
          <a:extLst>
            <a:ext uri="{FF2B5EF4-FFF2-40B4-BE49-F238E27FC236}">
              <a16:creationId xmlns:a16="http://schemas.microsoft.com/office/drawing/2014/main" id="{B6CA8F16-7B6F-6A83-07C7-85D4E1229CA3}"/>
            </a:ext>
          </a:extLst>
        </xdr:cNvPr>
        <xdr:cNvSpPr txBox="1"/>
      </xdr:nvSpPr>
      <xdr:spPr>
        <a:xfrm>
          <a:off x="46989556" y="171240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0D321A7-72F1-4A4E-AD03-780B324F6F26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ea typeface="游ゴシック"/>
              <a:cs typeface="Times New Roman"/>
            </a:rPr>
            <a:pPr/>
            <a:t>1.830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203</xdr:col>
      <xdr:colOff>149777</xdr:colOff>
      <xdr:row>11</xdr:row>
      <xdr:rowOff>68140</xdr:rowOff>
    </xdr:from>
    <xdr:ext cx="444352" cy="224998"/>
    <xdr:sp macro="" textlink="$GA$13">
      <xdr:nvSpPr>
        <xdr:cNvPr id="548" name="テキスト ボックス 547">
          <a:extLst>
            <a:ext uri="{FF2B5EF4-FFF2-40B4-BE49-F238E27FC236}">
              <a16:creationId xmlns:a16="http://schemas.microsoft.com/office/drawing/2014/main" id="{AC817D0E-B28B-6624-1CAB-F22BAB812679}"/>
            </a:ext>
          </a:extLst>
        </xdr:cNvPr>
        <xdr:cNvSpPr txBox="1"/>
      </xdr:nvSpPr>
      <xdr:spPr>
        <a:xfrm>
          <a:off x="46814827" y="259678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54DE6C-5B5F-4E2A-9609-88251A364A3C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ea typeface="游ゴシック"/>
              <a:cs typeface="Times New Roman"/>
            </a:rPr>
            <a:pPr/>
            <a:t>0.400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105111</xdr:colOff>
      <xdr:row>8</xdr:row>
      <xdr:rowOff>31985</xdr:rowOff>
    </xdr:from>
    <xdr:ext cx="1188001" cy="0"/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33CE0EA-33BD-498C-984B-6DFCA3239AF7}"/>
            </a:ext>
          </a:extLst>
        </xdr:cNvPr>
        <xdr:cNvCxnSpPr/>
      </xdr:nvCxnSpPr>
      <xdr:spPr>
        <a:xfrm>
          <a:off x="6505911" y="1860785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33</xdr:col>
      <xdr:colOff>155745</xdr:colOff>
      <xdr:row>6</xdr:row>
      <xdr:rowOff>211664</xdr:rowOff>
    </xdr:from>
    <xdr:ext cx="0" cy="161293"/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17B3584-CA96-47DD-AD8A-E9931A6ACF7C}"/>
            </a:ext>
          </a:extLst>
        </xdr:cNvPr>
        <xdr:cNvCxnSpPr/>
      </xdr:nvCxnSpPr>
      <xdr:spPr>
        <a:xfrm>
          <a:off x="7699545" y="158326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100945</xdr:colOff>
      <xdr:row>12</xdr:row>
      <xdr:rowOff>205254</xdr:rowOff>
    </xdr:from>
    <xdr:ext cx="357790" cy="28552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74056D3-548C-4DEB-AC38-9A84CAFA3A71}"/>
            </a:ext>
          </a:extLst>
        </xdr:cNvPr>
        <xdr:cNvSpPr txBox="1"/>
      </xdr:nvSpPr>
      <xdr:spPr>
        <a:xfrm>
          <a:off x="6044545" y="2948454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30</xdr:col>
      <xdr:colOff>193675</xdr:colOff>
      <xdr:row>8</xdr:row>
      <xdr:rowOff>34785</xdr:rowOff>
    </xdr:from>
    <xdr:ext cx="323171" cy="1159580"/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77A2425-0A3B-4C40-97DC-1D4FE6EE0E4D}"/>
            </a:ext>
          </a:extLst>
        </xdr:cNvPr>
        <xdr:cNvCxnSpPr/>
      </xdr:nvCxnSpPr>
      <xdr:spPr>
        <a:xfrm flipH="1">
          <a:off x="7051675" y="1863585"/>
          <a:ext cx="323171" cy="115958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27403</xdr:colOff>
      <xdr:row>8</xdr:row>
      <xdr:rowOff>50830</xdr:rowOff>
    </xdr:from>
    <xdr:ext cx="310517" cy="1069805"/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B6E69D1-ED72-4DCE-8969-294B5DF8F353}"/>
            </a:ext>
          </a:extLst>
        </xdr:cNvPr>
        <xdr:cNvCxnSpPr/>
      </xdr:nvCxnSpPr>
      <xdr:spPr>
        <a:xfrm flipH="1">
          <a:off x="6199603" y="1879630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26655</xdr:colOff>
      <xdr:row>12</xdr:row>
      <xdr:rowOff>223031</xdr:rowOff>
    </xdr:from>
    <xdr:ext cx="1176035" cy="0"/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F12B297-04B3-4B29-96E8-CD509A22FEF4}"/>
            </a:ext>
          </a:extLst>
        </xdr:cNvPr>
        <xdr:cNvCxnSpPr/>
      </xdr:nvCxnSpPr>
      <xdr:spPr>
        <a:xfrm>
          <a:off x="6198855" y="2966231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117549</xdr:colOff>
      <xdr:row>6</xdr:row>
      <xdr:rowOff>211664</xdr:rowOff>
    </xdr:from>
    <xdr:ext cx="0" cy="161293"/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4D58988-7212-4B0B-A303-52A18D3EAA75}"/>
            </a:ext>
          </a:extLst>
        </xdr:cNvPr>
        <xdr:cNvCxnSpPr/>
      </xdr:nvCxnSpPr>
      <xdr:spPr>
        <a:xfrm>
          <a:off x="6518349" y="158326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127048</xdr:colOff>
      <xdr:row>7</xdr:row>
      <xdr:rowOff>15977</xdr:rowOff>
    </xdr:from>
    <xdr:ext cx="1171527" cy="0"/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6A21E8D6-84F4-493F-922C-92DB9D2E9E22}"/>
            </a:ext>
          </a:extLst>
        </xdr:cNvPr>
        <xdr:cNvCxnSpPr/>
      </xdr:nvCxnSpPr>
      <xdr:spPr>
        <a:xfrm>
          <a:off x="6527848" y="1616177"/>
          <a:ext cx="117152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130995</xdr:colOff>
      <xdr:row>6</xdr:row>
      <xdr:rowOff>30073</xdr:rowOff>
    </xdr:from>
    <xdr:ext cx="444352" cy="224998"/>
    <xdr:sp macro="" textlink="'4-3.部材'!$G$10">
      <xdr:nvSpPr>
        <xdr:cNvPr id="10" name="テキスト ボックス 9">
          <a:extLst>
            <a:ext uri="{FF2B5EF4-FFF2-40B4-BE49-F238E27FC236}">
              <a16:creationId xmlns:a16="http://schemas.microsoft.com/office/drawing/2014/main" id="{3A3E8BCF-95F9-4592-94E2-E41BA728AC1F}"/>
            </a:ext>
          </a:extLst>
        </xdr:cNvPr>
        <xdr:cNvSpPr txBox="1"/>
      </xdr:nvSpPr>
      <xdr:spPr>
        <a:xfrm>
          <a:off x="6988995" y="140167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BA6C8C4-775C-4B9A-92BE-2BBE9FB696D2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135029</xdr:colOff>
      <xdr:row>6</xdr:row>
      <xdr:rowOff>41275</xdr:rowOff>
    </xdr:from>
    <xdr:ext cx="336311" cy="22499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7B3A803E-0C14-4599-8FE9-7E2B5593110D}"/>
            </a:ext>
          </a:extLst>
        </xdr:cNvPr>
        <xdr:cNvSpPr txBox="1"/>
      </xdr:nvSpPr>
      <xdr:spPr>
        <a:xfrm>
          <a:off x="6764429" y="141287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32</xdr:col>
      <xdr:colOff>83555</xdr:colOff>
      <xdr:row>8</xdr:row>
      <xdr:rowOff>56692</xdr:rowOff>
    </xdr:from>
    <xdr:ext cx="293770" cy="1054087"/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49DF8C3-CD48-4D6B-A800-250A5528D3D4}"/>
            </a:ext>
          </a:extLst>
        </xdr:cNvPr>
        <xdr:cNvCxnSpPr/>
      </xdr:nvCxnSpPr>
      <xdr:spPr>
        <a:xfrm flipH="1">
          <a:off x="7398755" y="1885492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27</xdr:col>
      <xdr:colOff>24416</xdr:colOff>
      <xdr:row>8</xdr:row>
      <xdr:rowOff>34020</xdr:rowOff>
    </xdr:from>
    <xdr:to>
      <xdr:col>33</xdr:col>
      <xdr:colOff>165100</xdr:colOff>
      <xdr:row>13</xdr:row>
      <xdr:rowOff>527</xdr:rowOff>
    </xdr:to>
    <xdr:sp macro="" textlink="">
      <xdr:nvSpPr>
        <xdr:cNvPr id="13" name="平行四辺形 12">
          <a:extLst>
            <a:ext uri="{FF2B5EF4-FFF2-40B4-BE49-F238E27FC236}">
              <a16:creationId xmlns:a16="http://schemas.microsoft.com/office/drawing/2014/main" id="{37907226-89B7-4AE6-99B3-32193BD361AC}"/>
            </a:ext>
          </a:extLst>
        </xdr:cNvPr>
        <xdr:cNvSpPr/>
      </xdr:nvSpPr>
      <xdr:spPr>
        <a:xfrm>
          <a:off x="6196616" y="1862820"/>
          <a:ext cx="1512284" cy="1106396"/>
        </a:xfrm>
        <a:prstGeom prst="parallelogram">
          <a:avLst>
            <a:gd name="adj" fmla="val 28525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27</xdr:col>
      <xdr:colOff>16773</xdr:colOff>
      <xdr:row>12</xdr:row>
      <xdr:rowOff>209198</xdr:rowOff>
    </xdr:from>
    <xdr:ext cx="37664" cy="42986"/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41F24A91-7A2E-4123-B18D-02F84AB4E5DF}"/>
            </a:ext>
          </a:extLst>
        </xdr:cNvPr>
        <xdr:cNvSpPr/>
      </xdr:nvSpPr>
      <xdr:spPr>
        <a:xfrm>
          <a:off x="6188973" y="295239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114037</xdr:colOff>
      <xdr:row>7</xdr:row>
      <xdr:rowOff>53835</xdr:rowOff>
    </xdr:from>
    <xdr:ext cx="450434" cy="1616215"/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C60BBBD-B4D0-4AE2-B9FD-60B67FE38BB0}"/>
            </a:ext>
          </a:extLst>
        </xdr:cNvPr>
        <xdr:cNvCxnSpPr/>
      </xdr:nvCxnSpPr>
      <xdr:spPr>
        <a:xfrm flipH="1">
          <a:off x="6743437" y="1654035"/>
          <a:ext cx="450434" cy="1616215"/>
        </a:xfrm>
        <a:prstGeom prst="line">
          <a:avLst/>
        </a:prstGeom>
        <a:ln w="63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26</xdr:col>
      <xdr:colOff>94558</xdr:colOff>
      <xdr:row>12</xdr:row>
      <xdr:rowOff>46557</xdr:rowOff>
    </xdr:from>
    <xdr:to>
      <xdr:col>27</xdr:col>
      <xdr:colOff>206595</xdr:colOff>
      <xdr:row>13</xdr:row>
      <xdr:rowOff>172739</xdr:rowOff>
    </xdr:to>
    <xdr:sp macro="" textlink="">
      <xdr:nvSpPr>
        <xdr:cNvPr id="16" name="矢印: 環状 15">
          <a:extLst>
            <a:ext uri="{FF2B5EF4-FFF2-40B4-BE49-F238E27FC236}">
              <a16:creationId xmlns:a16="http://schemas.microsoft.com/office/drawing/2014/main" id="{C323A07C-E08E-43DC-B783-05838DEBEB68}"/>
            </a:ext>
          </a:extLst>
        </xdr:cNvPr>
        <xdr:cNvSpPr/>
      </xdr:nvSpPr>
      <xdr:spPr>
        <a:xfrm rot="20940662">
          <a:off x="6038158" y="2789757"/>
          <a:ext cx="340637" cy="354782"/>
        </a:xfrm>
        <a:prstGeom prst="circularArrow">
          <a:avLst>
            <a:gd name="adj1" fmla="val 9006"/>
            <a:gd name="adj2" fmla="val 1201318"/>
            <a:gd name="adj3" fmla="val 20575211"/>
            <a:gd name="adj4" fmla="val 12777058"/>
            <a:gd name="adj5" fmla="val 12447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26</xdr:col>
      <xdr:colOff>96607</xdr:colOff>
      <xdr:row>11</xdr:row>
      <xdr:rowOff>146531</xdr:rowOff>
    </xdr:from>
    <xdr:to>
      <xdr:col>27</xdr:col>
      <xdr:colOff>215801</xdr:colOff>
      <xdr:row>13</xdr:row>
      <xdr:rowOff>51281</xdr:rowOff>
    </xdr:to>
    <xdr:sp macro="" textlink="">
      <xdr:nvSpPr>
        <xdr:cNvPr id="17" name="矢印: 環状 16">
          <a:extLst>
            <a:ext uri="{FF2B5EF4-FFF2-40B4-BE49-F238E27FC236}">
              <a16:creationId xmlns:a16="http://schemas.microsoft.com/office/drawing/2014/main" id="{6F17E5C4-2DFD-4331-80EC-EC6DF4B1AAC4}"/>
            </a:ext>
          </a:extLst>
        </xdr:cNvPr>
        <xdr:cNvSpPr/>
      </xdr:nvSpPr>
      <xdr:spPr>
        <a:xfrm rot="986520" flipH="1">
          <a:off x="6040207" y="2661131"/>
          <a:ext cx="347794" cy="361950"/>
        </a:xfrm>
        <a:prstGeom prst="circularArrow">
          <a:avLst>
            <a:gd name="adj1" fmla="val 9006"/>
            <a:gd name="adj2" fmla="val 1201318"/>
            <a:gd name="adj3" fmla="val 20575211"/>
            <a:gd name="adj4" fmla="val 12777058"/>
            <a:gd name="adj5" fmla="val 12447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29</xdr:col>
      <xdr:colOff>49440</xdr:colOff>
      <xdr:row>10</xdr:row>
      <xdr:rowOff>86179</xdr:rowOff>
    </xdr:from>
    <xdr:to>
      <xdr:col>29</xdr:col>
      <xdr:colOff>49440</xdr:colOff>
      <xdr:row>12</xdr:row>
      <xdr:rowOff>224897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16918FE7-B684-4049-AF6A-2C4271AD4600}"/>
            </a:ext>
          </a:extLst>
        </xdr:cNvPr>
        <xdr:cNvCxnSpPr/>
      </xdr:nvCxnSpPr>
      <xdr:spPr>
        <a:xfrm>
          <a:off x="6678840" y="2372179"/>
          <a:ext cx="0" cy="595918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65770</xdr:colOff>
      <xdr:row>12</xdr:row>
      <xdr:rowOff>197683</xdr:rowOff>
    </xdr:from>
    <xdr:to>
      <xdr:col>30</xdr:col>
      <xdr:colOff>147412</xdr:colOff>
      <xdr:row>12</xdr:row>
      <xdr:rowOff>197683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90881776-8B10-414E-BC26-8E5317570D7C}"/>
            </a:ext>
          </a:extLst>
        </xdr:cNvPr>
        <xdr:cNvCxnSpPr/>
      </xdr:nvCxnSpPr>
      <xdr:spPr>
        <a:xfrm flipH="1">
          <a:off x="6695170" y="2940883"/>
          <a:ext cx="310242" cy="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52235</xdr:colOff>
      <xdr:row>13</xdr:row>
      <xdr:rowOff>37493</xdr:rowOff>
    </xdr:from>
    <xdr:ext cx="0" cy="326272"/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846F2B3C-98C7-4AE5-B2EF-5E85F95CB641}"/>
            </a:ext>
          </a:extLst>
        </xdr:cNvPr>
        <xdr:cNvCxnSpPr/>
      </xdr:nvCxnSpPr>
      <xdr:spPr>
        <a:xfrm>
          <a:off x="6681635" y="3009293"/>
          <a:ext cx="0" cy="32627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177421</xdr:colOff>
      <xdr:row>13</xdr:row>
      <xdr:rowOff>37493</xdr:rowOff>
    </xdr:from>
    <xdr:ext cx="0" cy="326272"/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BDA0C51B-56F1-4289-86FF-0FF5B2A595AA}"/>
            </a:ext>
          </a:extLst>
        </xdr:cNvPr>
        <xdr:cNvCxnSpPr/>
      </xdr:nvCxnSpPr>
      <xdr:spPr>
        <a:xfrm>
          <a:off x="6806821" y="3009293"/>
          <a:ext cx="0" cy="326272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56291</xdr:colOff>
      <xdr:row>14</xdr:row>
      <xdr:rowOff>66324</xdr:rowOff>
    </xdr:from>
    <xdr:ext cx="129220" cy="0"/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328F97F3-D1C3-4151-BDF6-384520181D30}"/>
            </a:ext>
          </a:extLst>
        </xdr:cNvPr>
        <xdr:cNvCxnSpPr/>
      </xdr:nvCxnSpPr>
      <xdr:spPr>
        <a:xfrm>
          <a:off x="6685691" y="3266724"/>
          <a:ext cx="12922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222080</xdr:colOff>
      <xdr:row>14</xdr:row>
      <xdr:rowOff>46407</xdr:rowOff>
    </xdr:from>
    <xdr:ext cx="264752" cy="224998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D5A47309-E410-4141-B38B-18C58B77DE05}"/>
            </a:ext>
          </a:extLst>
        </xdr:cNvPr>
        <xdr:cNvSpPr txBox="1"/>
      </xdr:nvSpPr>
      <xdr:spPr>
        <a:xfrm>
          <a:off x="6642636" y="3256685"/>
          <a:ext cx="2647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45357</xdr:colOff>
      <xdr:row>11</xdr:row>
      <xdr:rowOff>91621</xdr:rowOff>
    </xdr:from>
    <xdr:ext cx="382156" cy="224998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A76DF394-0F36-41F6-B4B2-57C44B821F2C}"/>
            </a:ext>
          </a:extLst>
        </xdr:cNvPr>
        <xdr:cNvSpPr txBox="1"/>
      </xdr:nvSpPr>
      <xdr:spPr>
        <a:xfrm>
          <a:off x="5760357" y="2606221"/>
          <a:ext cx="38215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127000</xdr:colOff>
      <xdr:row>9</xdr:row>
      <xdr:rowOff>124823</xdr:rowOff>
    </xdr:from>
    <xdr:ext cx="323807" cy="224998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4BC9B56F-2551-4931-957B-D07000D4A9A9}"/>
            </a:ext>
          </a:extLst>
        </xdr:cNvPr>
        <xdr:cNvSpPr txBox="1"/>
      </xdr:nvSpPr>
      <xdr:spPr>
        <a:xfrm>
          <a:off x="6527800" y="2182223"/>
          <a:ext cx="3238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181430</xdr:colOff>
      <xdr:row>11</xdr:row>
      <xdr:rowOff>224972</xdr:rowOff>
    </xdr:from>
    <xdr:ext cx="335220" cy="224998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512E060C-7C6E-4899-A0F3-49ACF105D19D}"/>
            </a:ext>
          </a:extLst>
        </xdr:cNvPr>
        <xdr:cNvSpPr txBox="1"/>
      </xdr:nvSpPr>
      <xdr:spPr>
        <a:xfrm>
          <a:off x="6810830" y="2739572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34471</xdr:colOff>
      <xdr:row>12</xdr:row>
      <xdr:rowOff>60325</xdr:rowOff>
    </xdr:from>
    <xdr:ext cx="382156" cy="22499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55E516E7-D024-4010-BA2B-466845E105C8}"/>
            </a:ext>
          </a:extLst>
        </xdr:cNvPr>
        <xdr:cNvSpPr txBox="1"/>
      </xdr:nvSpPr>
      <xdr:spPr>
        <a:xfrm>
          <a:off x="5749471" y="2803525"/>
          <a:ext cx="38215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57150</xdr:colOff>
      <xdr:row>19</xdr:row>
      <xdr:rowOff>44450</xdr:rowOff>
    </xdr:from>
    <xdr:to>
      <xdr:col>32</xdr:col>
      <xdr:colOff>114300</xdr:colOff>
      <xdr:row>23</xdr:row>
      <xdr:rowOff>177800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9BCB0DAC-B25D-4E31-A2F7-94D173A131EC}"/>
            </a:ext>
          </a:extLst>
        </xdr:cNvPr>
        <xdr:cNvSpPr/>
      </xdr:nvSpPr>
      <xdr:spPr>
        <a:xfrm>
          <a:off x="6229350" y="4387850"/>
          <a:ext cx="1200150" cy="1047750"/>
        </a:xfrm>
        <a:prstGeom prst="rect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32</xdr:col>
      <xdr:colOff>104945</xdr:colOff>
      <xdr:row>17</xdr:row>
      <xdr:rowOff>214839</xdr:rowOff>
    </xdr:from>
    <xdr:ext cx="0" cy="161293"/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B3ED085C-95DD-4209-8B30-453C9E3C7512}"/>
            </a:ext>
          </a:extLst>
        </xdr:cNvPr>
        <xdr:cNvCxnSpPr/>
      </xdr:nvCxnSpPr>
      <xdr:spPr>
        <a:xfrm>
          <a:off x="7420145" y="4101039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66749</xdr:colOff>
      <xdr:row>17</xdr:row>
      <xdr:rowOff>214839</xdr:rowOff>
    </xdr:from>
    <xdr:ext cx="0" cy="161293"/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D16AB7F2-0BEC-47B6-BCFE-A7D01E1CB283}"/>
            </a:ext>
          </a:extLst>
        </xdr:cNvPr>
        <xdr:cNvCxnSpPr/>
      </xdr:nvCxnSpPr>
      <xdr:spPr>
        <a:xfrm>
          <a:off x="6238949" y="4101039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76248</xdr:colOff>
      <xdr:row>18</xdr:row>
      <xdr:rowOff>19152</xdr:rowOff>
    </xdr:from>
    <xdr:ext cx="1171527" cy="0"/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BA16B752-02DF-45DF-AEC5-562CB21AA551}"/>
            </a:ext>
          </a:extLst>
        </xdr:cNvPr>
        <xdr:cNvCxnSpPr/>
      </xdr:nvCxnSpPr>
      <xdr:spPr>
        <a:xfrm>
          <a:off x="6248448" y="4133952"/>
          <a:ext cx="117152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80195</xdr:colOff>
      <xdr:row>17</xdr:row>
      <xdr:rowOff>33248</xdr:rowOff>
    </xdr:from>
    <xdr:ext cx="444352" cy="224998"/>
    <xdr:sp macro="" textlink="'4-3.部材'!$G$10">
      <xdr:nvSpPr>
        <xdr:cNvPr id="32" name="テキスト ボックス 31">
          <a:extLst>
            <a:ext uri="{FF2B5EF4-FFF2-40B4-BE49-F238E27FC236}">
              <a16:creationId xmlns:a16="http://schemas.microsoft.com/office/drawing/2014/main" id="{008961CC-99DA-4D43-8E01-49107D780C93}"/>
            </a:ext>
          </a:extLst>
        </xdr:cNvPr>
        <xdr:cNvSpPr txBox="1"/>
      </xdr:nvSpPr>
      <xdr:spPr>
        <a:xfrm>
          <a:off x="6709595" y="391944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BA6C8C4-775C-4B9A-92BE-2BBE9FB696D2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84229</xdr:colOff>
      <xdr:row>17</xdr:row>
      <xdr:rowOff>44450</xdr:rowOff>
    </xdr:from>
    <xdr:ext cx="336311" cy="224998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F3763B17-D315-4D69-9EFD-D79B47AE4710}"/>
            </a:ext>
          </a:extLst>
        </xdr:cNvPr>
        <xdr:cNvSpPr txBox="1"/>
      </xdr:nvSpPr>
      <xdr:spPr>
        <a:xfrm>
          <a:off x="6485029" y="3930650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200025</xdr:colOff>
      <xdr:row>18</xdr:row>
      <xdr:rowOff>177800</xdr:rowOff>
    </xdr:from>
    <xdr:ext cx="0" cy="1362075"/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D93B3A73-DDA8-4478-ABCD-A1187610A571}"/>
            </a:ext>
          </a:extLst>
        </xdr:cNvPr>
        <xdr:cNvCxnSpPr/>
      </xdr:nvCxnSpPr>
      <xdr:spPr>
        <a:xfrm>
          <a:off x="6829425" y="4292600"/>
          <a:ext cx="0" cy="1362075"/>
        </a:xfrm>
        <a:prstGeom prst="line">
          <a:avLst/>
        </a:prstGeom>
        <a:ln w="63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9525</xdr:colOff>
      <xdr:row>20</xdr:row>
      <xdr:rowOff>112754</xdr:rowOff>
    </xdr:from>
    <xdr:ext cx="224998" cy="444352"/>
    <xdr:sp macro="" textlink="$Q$24">
      <xdr:nvSpPr>
        <xdr:cNvPr id="35" name="テキスト ボックス 34">
          <a:extLst>
            <a:ext uri="{FF2B5EF4-FFF2-40B4-BE49-F238E27FC236}">
              <a16:creationId xmlns:a16="http://schemas.microsoft.com/office/drawing/2014/main" id="{A0782042-FAB5-4661-BD9B-212B411F804D}"/>
            </a:ext>
          </a:extLst>
        </xdr:cNvPr>
        <xdr:cNvSpPr txBox="1"/>
      </xdr:nvSpPr>
      <xdr:spPr>
        <a:xfrm rot="16200000">
          <a:off x="5614848" y="479443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A4F9994-67D4-4EC1-8494-C8C5962FAEC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1.000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152400</xdr:colOff>
      <xdr:row>23</xdr:row>
      <xdr:rowOff>179038</xdr:rowOff>
    </xdr:from>
    <xdr:to>
      <xdr:col>26</xdr:col>
      <xdr:colOff>155833</xdr:colOff>
      <xdr:row>23</xdr:row>
      <xdr:rowOff>179038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B2AEB4B6-EC93-45BD-B513-190149B29E28}"/>
            </a:ext>
          </a:extLst>
        </xdr:cNvPr>
        <xdr:cNvCxnSpPr/>
      </xdr:nvCxnSpPr>
      <xdr:spPr>
        <a:xfrm>
          <a:off x="5867400" y="5436838"/>
          <a:ext cx="23203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221696</xdr:colOff>
      <xdr:row>19</xdr:row>
      <xdr:rowOff>63500</xdr:rowOff>
    </xdr:from>
    <xdr:to>
      <xdr:col>25</xdr:col>
      <xdr:colOff>221696</xdr:colOff>
      <xdr:row>23</xdr:row>
      <xdr:rowOff>163554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232784C6-7CC1-4DAA-AC9D-196DAF3E819A}"/>
            </a:ext>
          </a:extLst>
        </xdr:cNvPr>
        <xdr:cNvCxnSpPr/>
      </xdr:nvCxnSpPr>
      <xdr:spPr>
        <a:xfrm>
          <a:off x="5936696" y="4406900"/>
          <a:ext cx="0" cy="1014454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152400</xdr:colOff>
      <xdr:row>19</xdr:row>
      <xdr:rowOff>55213</xdr:rowOff>
    </xdr:from>
    <xdr:to>
      <xdr:col>26</xdr:col>
      <xdr:colOff>155833</xdr:colOff>
      <xdr:row>19</xdr:row>
      <xdr:rowOff>55213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A1596FFE-4B24-47C7-B563-5B77A22570C3}"/>
            </a:ext>
          </a:extLst>
        </xdr:cNvPr>
        <xdr:cNvCxnSpPr/>
      </xdr:nvCxnSpPr>
      <xdr:spPr>
        <a:xfrm>
          <a:off x="5867400" y="4398613"/>
          <a:ext cx="23203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-note.com/youheki-ogata-kasen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5524-7302-47A3-8F77-A4B3192C8798}">
  <dimension ref="A1:BR62"/>
  <sheetViews>
    <sheetView showGridLines="0" tabSelected="1" view="pageBreakPreview" zoomScale="60" zoomScaleNormal="70" workbookViewId="0">
      <selection activeCell="A2" sqref="A2"/>
    </sheetView>
  </sheetViews>
  <sheetFormatPr defaultRowHeight="18"/>
  <cols>
    <col min="1" max="70" width="3" customWidth="1"/>
  </cols>
  <sheetData>
    <row r="1" spans="1:70">
      <c r="A1" t="s">
        <v>484</v>
      </c>
      <c r="AA1" s="107" t="s">
        <v>479</v>
      </c>
      <c r="AK1" s="3" t="s">
        <v>441</v>
      </c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70">
      <c r="B2" t="s">
        <v>456</v>
      </c>
      <c r="AK2" s="3"/>
      <c r="AL2" s="3" t="s">
        <v>392</v>
      </c>
      <c r="AM2" s="3"/>
      <c r="AN2" s="3"/>
      <c r="BB2" s="3"/>
      <c r="BC2" s="3"/>
      <c r="BG2" s="164">
        <v>0.83499999999999996</v>
      </c>
      <c r="BH2" s="165"/>
      <c r="BI2" s="166"/>
      <c r="BJ2" s="1" t="s">
        <v>3</v>
      </c>
      <c r="BK2" s="3"/>
      <c r="BL2" s="3"/>
      <c r="BN2" s="3"/>
      <c r="BO2" s="3"/>
      <c r="BP2" s="3"/>
      <c r="BQ2" s="3"/>
      <c r="BR2" s="3"/>
    </row>
    <row r="3" spans="1:70">
      <c r="A3" t="s">
        <v>0</v>
      </c>
      <c r="AK3" s="3"/>
      <c r="AL3" s="3" t="s">
        <v>389</v>
      </c>
      <c r="AM3" s="3"/>
      <c r="AO3" s="3" t="s">
        <v>394</v>
      </c>
      <c r="AP3" s="140">
        <f>_xlfn.IFS(T13=0.3, 0.15, T13=0.4, 0.12, T13=0.5, 0.1, TRUE, "")</f>
        <v>0.12</v>
      </c>
      <c r="AQ3" s="140"/>
      <c r="AR3" s="99" t="s">
        <v>391</v>
      </c>
      <c r="AS3" s="1" t="s">
        <v>390</v>
      </c>
      <c r="AT3" s="141">
        <f>AP3*T6</f>
        <v>0.69599999999999995</v>
      </c>
      <c r="AU3" s="141"/>
      <c r="AV3" s="141"/>
      <c r="AX3" s="12"/>
      <c r="AY3" s="12"/>
      <c r="BC3" s="3"/>
      <c r="BD3" s="3" t="s">
        <v>393</v>
      </c>
      <c r="BF3" s="3" t="s">
        <v>394</v>
      </c>
      <c r="BG3" s="142">
        <f>BG2/SQRT(1+T13^2)</f>
        <v>0.77527803688919139</v>
      </c>
      <c r="BH3" s="143"/>
      <c r="BI3" s="144"/>
      <c r="BJ3" s="1" t="s">
        <v>3</v>
      </c>
      <c r="BK3" s="3" t="s">
        <v>388</v>
      </c>
      <c r="BL3" s="3"/>
      <c r="BN3" s="3"/>
      <c r="BO3" s="3"/>
      <c r="BP3" s="128" t="str">
        <f>IF(AT3&lt;=BG3, "OK", "NG")</f>
        <v>OK</v>
      </c>
      <c r="BQ3" s="130"/>
      <c r="BR3" s="3"/>
    </row>
    <row r="4" spans="1:70">
      <c r="B4" t="s">
        <v>1</v>
      </c>
      <c r="Y4" s="34"/>
      <c r="Z4" s="35"/>
      <c r="AA4" s="35"/>
      <c r="AB4" s="35"/>
      <c r="AC4" s="35"/>
      <c r="AD4" s="35"/>
      <c r="AE4" s="35"/>
      <c r="AF4" s="35"/>
      <c r="AG4" s="35"/>
      <c r="AH4" s="35"/>
      <c r="AI4" s="40"/>
      <c r="AK4" s="3"/>
      <c r="AL4" s="3" t="s">
        <v>239</v>
      </c>
      <c r="AM4" s="3"/>
      <c r="AN4" s="3"/>
      <c r="AO4" s="3" t="s">
        <v>440</v>
      </c>
      <c r="AQ4" s="3"/>
      <c r="AR4" s="3"/>
      <c r="AS4" s="3"/>
      <c r="AT4" s="3"/>
      <c r="AU4" s="3"/>
      <c r="AV4" s="3"/>
      <c r="AW4" s="3"/>
      <c r="AX4" s="3"/>
      <c r="AY4" s="3"/>
      <c r="BA4" s="3"/>
      <c r="BB4" s="3"/>
      <c r="BC4" s="3"/>
      <c r="BG4" s="142">
        <f>T6-BG5*BG6-T8</f>
        <v>0.49999999999999983</v>
      </c>
      <c r="BH4" s="143"/>
      <c r="BI4" s="144"/>
      <c r="BJ4" s="1" t="s">
        <v>3</v>
      </c>
      <c r="BK4" s="3"/>
      <c r="BL4" s="3"/>
      <c r="BN4" s="3"/>
      <c r="BO4" s="3"/>
      <c r="BP4" s="3"/>
      <c r="BQ4" s="3"/>
      <c r="BR4" s="3"/>
    </row>
    <row r="5" spans="1:70">
      <c r="C5" t="s">
        <v>229</v>
      </c>
      <c r="Q5" s="2" t="s">
        <v>34</v>
      </c>
      <c r="S5" t="s">
        <v>2</v>
      </c>
      <c r="T5" s="164">
        <v>6.1</v>
      </c>
      <c r="U5" s="165"/>
      <c r="V5" s="166"/>
      <c r="W5" s="1" t="s">
        <v>3</v>
      </c>
      <c r="Y5" s="5"/>
      <c r="AI5" s="6"/>
      <c r="AK5" s="3"/>
      <c r="AM5" s="3"/>
      <c r="AN5" s="3"/>
      <c r="AO5" s="3" t="s">
        <v>257</v>
      </c>
      <c r="AP5" s="3"/>
      <c r="AQ5" s="3"/>
      <c r="AS5" s="3"/>
      <c r="AT5" s="3"/>
      <c r="AU5" s="3"/>
      <c r="AV5" s="3"/>
      <c r="AW5" s="3"/>
      <c r="AX5" s="3"/>
      <c r="AY5" s="3"/>
      <c r="BA5" s="25"/>
      <c r="BB5" s="25"/>
      <c r="BC5" s="25"/>
      <c r="BG5" s="150">
        <v>1</v>
      </c>
      <c r="BH5" s="151"/>
      <c r="BI5" s="152"/>
      <c r="BJ5" s="1" t="s">
        <v>3</v>
      </c>
      <c r="BK5" s="3"/>
      <c r="BL5" s="3"/>
      <c r="BN5" s="3"/>
      <c r="BO5" s="3"/>
      <c r="BP5" s="3"/>
      <c r="BQ5" s="3"/>
      <c r="BR5" s="3"/>
    </row>
    <row r="6" spans="1:70">
      <c r="C6" t="s">
        <v>227</v>
      </c>
      <c r="Q6" s="2" t="s">
        <v>228</v>
      </c>
      <c r="S6" t="s">
        <v>2</v>
      </c>
      <c r="T6" s="170">
        <f>T5-T10</f>
        <v>5.8</v>
      </c>
      <c r="U6" s="171"/>
      <c r="V6" s="172"/>
      <c r="W6" s="1" t="s">
        <v>3</v>
      </c>
      <c r="Y6" s="5"/>
      <c r="AI6" s="6"/>
      <c r="AK6" s="3"/>
      <c r="AL6" s="3" t="s">
        <v>259</v>
      </c>
      <c r="AM6" s="3"/>
      <c r="AN6" s="3"/>
      <c r="AR6" s="3"/>
      <c r="AS6" s="3"/>
      <c r="AT6" s="3"/>
      <c r="AU6" s="3"/>
      <c r="AV6" s="3"/>
      <c r="AW6" s="3"/>
      <c r="AX6" s="3"/>
      <c r="AY6" s="3"/>
      <c r="BA6" s="25"/>
      <c r="BB6" s="25"/>
      <c r="BC6" s="25"/>
      <c r="BG6" s="167">
        <f>TRUNC(T6/BG5)</f>
        <v>5</v>
      </c>
      <c r="BH6" s="168"/>
      <c r="BI6" s="169"/>
      <c r="BJ6" s="63" t="s">
        <v>258</v>
      </c>
      <c r="BK6" s="3"/>
      <c r="BL6" s="3"/>
      <c r="BN6" s="3"/>
      <c r="BO6" s="3"/>
      <c r="BP6" s="3"/>
      <c r="BQ6" s="3"/>
      <c r="BR6" s="3"/>
    </row>
    <row r="7" spans="1:70">
      <c r="C7" t="s">
        <v>4</v>
      </c>
      <c r="Q7" s="2" t="s">
        <v>225</v>
      </c>
      <c r="S7" t="s">
        <v>2</v>
      </c>
      <c r="T7" s="164">
        <v>1.1000000000000001</v>
      </c>
      <c r="U7" s="165"/>
      <c r="V7" s="166"/>
      <c r="W7" s="1" t="s">
        <v>3</v>
      </c>
      <c r="Y7" s="5"/>
      <c r="AI7" s="6"/>
      <c r="AK7" s="3"/>
      <c r="AL7" s="3" t="s">
        <v>240</v>
      </c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BA7" s="25"/>
      <c r="BB7" s="25"/>
      <c r="BC7" s="25"/>
      <c r="BG7" s="153">
        <f>T7-BG2</f>
        <v>0.26500000000000012</v>
      </c>
      <c r="BH7" s="154"/>
      <c r="BI7" s="155"/>
      <c r="BJ7" s="24" t="s">
        <v>3</v>
      </c>
      <c r="BK7" s="3"/>
      <c r="BL7" s="3"/>
      <c r="BN7" s="3"/>
      <c r="BO7" s="3"/>
      <c r="BP7" s="3"/>
      <c r="BQ7" s="3"/>
      <c r="BR7" s="3"/>
    </row>
    <row r="8" spans="1:70">
      <c r="C8" t="s">
        <v>226</v>
      </c>
      <c r="Q8" s="2" t="s">
        <v>231</v>
      </c>
      <c r="S8" t="s">
        <v>2</v>
      </c>
      <c r="T8" s="164">
        <v>0.3</v>
      </c>
      <c r="U8" s="165"/>
      <c r="V8" s="166"/>
      <c r="W8" s="1" t="s">
        <v>3</v>
      </c>
      <c r="Y8" s="5"/>
      <c r="AI8" s="6"/>
      <c r="AK8" s="3"/>
      <c r="AL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BA8" s="25"/>
      <c r="BB8" s="25"/>
      <c r="BC8" s="25"/>
      <c r="BG8" s="3"/>
      <c r="BH8" s="3"/>
      <c r="BI8" s="3"/>
      <c r="BK8" s="3"/>
      <c r="BL8" s="3"/>
      <c r="BN8" s="3"/>
      <c r="BO8" s="3"/>
      <c r="BP8" s="3"/>
      <c r="BR8" s="3"/>
    </row>
    <row r="9" spans="1:70">
      <c r="C9" t="s">
        <v>277</v>
      </c>
      <c r="Q9" s="2" t="s">
        <v>35</v>
      </c>
      <c r="S9" t="s">
        <v>2</v>
      </c>
      <c r="T9" s="164">
        <v>1.3</v>
      </c>
      <c r="U9" s="165"/>
      <c r="V9" s="166"/>
      <c r="W9" s="1" t="s">
        <v>3</v>
      </c>
      <c r="Y9" s="162"/>
      <c r="Z9" s="163"/>
      <c r="AA9" s="163"/>
      <c r="AI9" s="6"/>
      <c r="AK9" s="3" t="s">
        <v>123</v>
      </c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BA9" s="3"/>
      <c r="BB9" s="3"/>
      <c r="BC9" s="3"/>
      <c r="BG9" s="3"/>
      <c r="BH9" s="3"/>
      <c r="BI9" s="3"/>
      <c r="BK9" s="3"/>
      <c r="BL9" s="3"/>
      <c r="BN9" s="3"/>
      <c r="BO9" s="3"/>
      <c r="BP9" s="3"/>
      <c r="BR9" s="3"/>
    </row>
    <row r="10" spans="1:70">
      <c r="C10" t="s">
        <v>278</v>
      </c>
      <c r="Q10" s="2" t="s">
        <v>230</v>
      </c>
      <c r="S10" t="s">
        <v>2</v>
      </c>
      <c r="T10" s="164">
        <v>0.3</v>
      </c>
      <c r="U10" s="165"/>
      <c r="V10" s="166"/>
      <c r="W10" s="1" t="s">
        <v>3</v>
      </c>
      <c r="Y10" s="5"/>
      <c r="AI10" s="6"/>
      <c r="AK10" s="3"/>
      <c r="AL10" s="3" t="s">
        <v>124</v>
      </c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BA10" s="3"/>
      <c r="BB10" s="3"/>
      <c r="BC10" s="3"/>
      <c r="BG10" s="159" t="s">
        <v>381</v>
      </c>
      <c r="BH10" s="160"/>
      <c r="BI10" s="161"/>
      <c r="BK10" s="3" t="s">
        <v>125</v>
      </c>
      <c r="BL10" s="3"/>
      <c r="BN10" s="3"/>
      <c r="BO10" s="3"/>
      <c r="BP10" s="3"/>
      <c r="BQ10" s="3"/>
      <c r="BR10" s="3"/>
    </row>
    <row r="11" spans="1:70">
      <c r="C11" t="s">
        <v>279</v>
      </c>
      <c r="Q11" s="2" t="s">
        <v>280</v>
      </c>
      <c r="S11" t="s">
        <v>2</v>
      </c>
      <c r="T11" s="164">
        <v>0.1</v>
      </c>
      <c r="U11" s="165"/>
      <c r="V11" s="166"/>
      <c r="W11" s="1" t="s">
        <v>3</v>
      </c>
      <c r="Y11" s="5"/>
      <c r="AI11" s="6"/>
      <c r="AK11" s="3"/>
      <c r="AL11" s="3"/>
      <c r="AM11" s="3" t="s">
        <v>126</v>
      </c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BA11" s="3"/>
      <c r="BB11" s="3"/>
      <c r="BC11" s="3"/>
      <c r="BG11" s="156" t="s">
        <v>127</v>
      </c>
      <c r="BH11" s="157"/>
      <c r="BI11" s="158"/>
      <c r="BK11" s="3" t="s">
        <v>128</v>
      </c>
      <c r="BL11" s="3"/>
      <c r="BN11" s="3"/>
      <c r="BO11" s="3"/>
      <c r="BP11" s="3"/>
      <c r="BQ11" s="3"/>
    </row>
    <row r="12" spans="1:70">
      <c r="C12" t="s">
        <v>284</v>
      </c>
      <c r="Q12" s="2" t="s">
        <v>285</v>
      </c>
      <c r="S12" t="s">
        <v>2</v>
      </c>
      <c r="T12" s="164">
        <v>0.1</v>
      </c>
      <c r="U12" s="165"/>
      <c r="V12" s="166"/>
      <c r="W12" s="1" t="s">
        <v>3</v>
      </c>
      <c r="Y12" s="5"/>
      <c r="AI12" s="6"/>
      <c r="AK12" s="3"/>
      <c r="AL12" s="3"/>
      <c r="AM12" s="3" t="s">
        <v>129</v>
      </c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BA12" s="3"/>
      <c r="BB12" s="3"/>
      <c r="BC12" s="3"/>
      <c r="BG12" s="156" t="s">
        <v>127</v>
      </c>
      <c r="BH12" s="157"/>
      <c r="BI12" s="158"/>
      <c r="BK12" s="3"/>
      <c r="BL12" s="3"/>
      <c r="BN12" s="3"/>
      <c r="BO12" s="3"/>
      <c r="BP12" s="3"/>
      <c r="BQ12" s="3"/>
    </row>
    <row r="13" spans="1:70">
      <c r="C13" t="s">
        <v>224</v>
      </c>
      <c r="E13" s="3" t="s">
        <v>439</v>
      </c>
      <c r="O13">
        <v>1</v>
      </c>
      <c r="P13" t="s">
        <v>6</v>
      </c>
      <c r="Q13" s="2" t="s">
        <v>233</v>
      </c>
      <c r="T13" s="176">
        <f>_xlfn.IFS(T6&gt;7, 0.5, T6&gt;5, 0.4, TRUE, 0.3)</f>
        <v>0.4</v>
      </c>
      <c r="U13" s="177"/>
      <c r="V13" s="178"/>
      <c r="Y13" s="5"/>
      <c r="AI13" s="6"/>
      <c r="AK13" s="3"/>
      <c r="AL13" s="3"/>
      <c r="AM13" s="3" t="s">
        <v>130</v>
      </c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BA13" s="3"/>
      <c r="BB13" s="3"/>
      <c r="BC13" s="3"/>
      <c r="BG13" s="156" t="s">
        <v>131</v>
      </c>
      <c r="BH13" s="157"/>
      <c r="BI13" s="158"/>
      <c r="BK13" s="3"/>
      <c r="BL13" s="3"/>
      <c r="BN13" s="3"/>
      <c r="BO13" s="3"/>
      <c r="BP13" s="3"/>
      <c r="BQ13" s="3"/>
    </row>
    <row r="14" spans="1:70">
      <c r="Y14" s="5"/>
      <c r="AI14" s="6"/>
      <c r="AK14" s="3"/>
      <c r="AL14" s="3"/>
      <c r="AM14" s="3" t="s">
        <v>132</v>
      </c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BA14" s="3"/>
      <c r="BB14" s="3"/>
      <c r="BC14" s="3"/>
      <c r="BG14" s="159" t="s">
        <v>382</v>
      </c>
      <c r="BH14" s="160"/>
      <c r="BI14" s="161"/>
      <c r="BK14" s="3"/>
      <c r="BL14" s="3"/>
      <c r="BN14" s="3"/>
      <c r="BO14" s="3"/>
      <c r="BP14" s="3"/>
      <c r="BQ14" s="3"/>
      <c r="BR14" s="3"/>
    </row>
    <row r="15" spans="1:70">
      <c r="B15" t="s">
        <v>7</v>
      </c>
      <c r="T15" s="1"/>
      <c r="U15" s="1"/>
      <c r="V15" s="1"/>
      <c r="W15" s="1"/>
      <c r="Y15" s="5"/>
      <c r="AI15" s="6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BA15" s="3"/>
      <c r="BB15" s="3"/>
      <c r="BC15" s="3"/>
      <c r="BG15" s="3"/>
      <c r="BH15" s="3"/>
      <c r="BI15" s="3"/>
      <c r="BK15" s="3"/>
      <c r="BL15" s="3"/>
      <c r="BN15" s="3"/>
      <c r="BO15" s="3"/>
      <c r="BP15" s="3"/>
      <c r="BQ15" s="3"/>
      <c r="BR15" s="3"/>
    </row>
    <row r="16" spans="1:70">
      <c r="C16" t="s">
        <v>8</v>
      </c>
      <c r="Q16" s="2" t="s">
        <v>9</v>
      </c>
      <c r="S16" t="s">
        <v>2</v>
      </c>
      <c r="T16" s="173">
        <v>18</v>
      </c>
      <c r="U16" s="174"/>
      <c r="V16" s="175"/>
      <c r="W16" s="1" t="s">
        <v>232</v>
      </c>
      <c r="Y16" s="5"/>
      <c r="AI16" s="6"/>
      <c r="AK16" s="3" t="s">
        <v>133</v>
      </c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BA16" s="3"/>
      <c r="BB16" s="3"/>
      <c r="BC16" s="3"/>
      <c r="BG16" s="3"/>
      <c r="BH16" s="3"/>
      <c r="BI16" s="3"/>
      <c r="BK16" s="3"/>
      <c r="BL16" s="3"/>
      <c r="BN16" s="3"/>
      <c r="BO16" s="3"/>
      <c r="BQ16" s="3"/>
      <c r="BR16" s="3"/>
    </row>
    <row r="17" spans="2:70">
      <c r="C17" t="s">
        <v>11</v>
      </c>
      <c r="Q17" s="16" t="s">
        <v>84</v>
      </c>
      <c r="S17" t="s">
        <v>2</v>
      </c>
      <c r="T17" s="173">
        <v>23</v>
      </c>
      <c r="U17" s="174"/>
      <c r="V17" s="175"/>
      <c r="W17" s="1" t="s">
        <v>12</v>
      </c>
      <c r="Y17" s="7"/>
      <c r="Z17" s="10"/>
      <c r="AA17" s="10"/>
      <c r="AB17" s="10"/>
      <c r="AC17" s="10"/>
      <c r="AD17" s="10"/>
      <c r="AE17" s="10"/>
      <c r="AF17" s="10"/>
      <c r="AG17" s="10"/>
      <c r="AH17" s="10"/>
      <c r="AI17" s="8"/>
      <c r="AL17" t="s">
        <v>134</v>
      </c>
      <c r="BG17" s="159" t="s">
        <v>383</v>
      </c>
      <c r="BH17" s="160"/>
      <c r="BI17" s="161"/>
      <c r="BK17" s="3" t="s">
        <v>135</v>
      </c>
      <c r="BQ17" s="3"/>
      <c r="BR17" s="3"/>
    </row>
    <row r="18" spans="2:70">
      <c r="C18" s="3" t="s">
        <v>396</v>
      </c>
      <c r="M18" s="203" t="s">
        <v>395</v>
      </c>
      <c r="N18" s="204"/>
      <c r="O18" s="145">
        <v>4</v>
      </c>
      <c r="P18" s="146"/>
      <c r="S18" t="s">
        <v>2</v>
      </c>
      <c r="T18" s="147">
        <f>T16/O18</f>
        <v>4.5</v>
      </c>
      <c r="U18" s="148"/>
      <c r="V18" s="149"/>
      <c r="W18" s="1" t="s">
        <v>232</v>
      </c>
      <c r="AC18" s="3" t="s">
        <v>367</v>
      </c>
      <c r="AL18" t="s">
        <v>136</v>
      </c>
      <c r="AO18" t="s">
        <v>401</v>
      </c>
      <c r="BQ18" s="3"/>
      <c r="BR18" s="3"/>
    </row>
    <row r="19" spans="2:70">
      <c r="C19" s="3" t="s">
        <v>397</v>
      </c>
      <c r="M19" s="203" t="s">
        <v>395</v>
      </c>
      <c r="N19" s="204"/>
      <c r="O19" s="145">
        <v>80</v>
      </c>
      <c r="P19" s="146"/>
      <c r="S19" t="s">
        <v>2</v>
      </c>
      <c r="T19" s="147">
        <f>T16/O19</f>
        <v>0.22500000000000001</v>
      </c>
      <c r="U19" s="148"/>
      <c r="V19" s="149"/>
      <c r="W19" s="1" t="s">
        <v>232</v>
      </c>
      <c r="AC19" s="3" t="s">
        <v>219</v>
      </c>
      <c r="AP19" t="s">
        <v>402</v>
      </c>
      <c r="BP19" s="3"/>
      <c r="BQ19" s="3"/>
      <c r="BR19" s="3"/>
    </row>
    <row r="20" spans="2:70">
      <c r="C20" s="3" t="s">
        <v>398</v>
      </c>
      <c r="M20" s="203" t="s">
        <v>395</v>
      </c>
      <c r="N20" s="204"/>
      <c r="O20" s="145">
        <v>100</v>
      </c>
      <c r="P20" s="146"/>
      <c r="Q20" s="208" t="s">
        <v>220</v>
      </c>
      <c r="R20" s="209"/>
      <c r="S20" t="s">
        <v>2</v>
      </c>
      <c r="T20" s="210">
        <f>T16/O20+0.15</f>
        <v>0.32999999999999996</v>
      </c>
      <c r="U20" s="211"/>
      <c r="V20" s="212"/>
      <c r="W20" s="1" t="s">
        <v>232</v>
      </c>
      <c r="AC20" s="3" t="s">
        <v>221</v>
      </c>
      <c r="AK20" s="3"/>
      <c r="AL20" s="3"/>
      <c r="AM20" s="3"/>
      <c r="AO20" s="3"/>
      <c r="AP20" s="3"/>
      <c r="AR20" s="3" t="s">
        <v>137</v>
      </c>
      <c r="AT20" s="3"/>
      <c r="AU20" s="3"/>
      <c r="AV20" s="3"/>
      <c r="AW20" s="3"/>
      <c r="AX20" s="3"/>
      <c r="AY20" s="3"/>
      <c r="BA20" s="3"/>
      <c r="BB20" s="3"/>
      <c r="BC20" s="3"/>
      <c r="BG20" s="159" t="s">
        <v>138</v>
      </c>
      <c r="BH20" s="160"/>
      <c r="BI20" s="161"/>
      <c r="BK20" s="3"/>
      <c r="BL20" s="3"/>
      <c r="BN20" s="3"/>
      <c r="BO20" s="3"/>
      <c r="BP20" s="3"/>
      <c r="BQ20" s="3"/>
      <c r="BR20" s="3"/>
    </row>
    <row r="21" spans="2:70">
      <c r="AK21" s="3"/>
      <c r="AL21" s="3"/>
      <c r="AM21" s="3"/>
      <c r="AO21" s="3"/>
      <c r="AP21" s="3"/>
      <c r="AR21" s="3" t="s">
        <v>139</v>
      </c>
      <c r="AT21" s="3"/>
      <c r="AU21" s="3"/>
      <c r="AV21" s="3"/>
      <c r="AW21" s="3"/>
      <c r="AX21" s="3"/>
      <c r="AY21" s="3"/>
      <c r="BA21" s="3"/>
      <c r="BB21" s="3"/>
      <c r="BC21" s="3"/>
      <c r="BG21" s="159" t="s">
        <v>140</v>
      </c>
      <c r="BH21" s="160"/>
      <c r="BI21" s="161"/>
      <c r="BK21" s="3" t="s">
        <v>141</v>
      </c>
      <c r="BL21" s="3"/>
      <c r="BN21" s="3"/>
      <c r="BO21" s="3"/>
      <c r="BP21" s="3"/>
      <c r="BQ21" s="3"/>
      <c r="BR21" s="3"/>
    </row>
    <row r="22" spans="2:70">
      <c r="B22" t="s">
        <v>13</v>
      </c>
      <c r="W22" s="1"/>
      <c r="AK22" s="3"/>
      <c r="AL22" s="3"/>
      <c r="AM22" s="3"/>
      <c r="AO22" s="3"/>
      <c r="AP22" s="3"/>
      <c r="AR22" s="3" t="s">
        <v>142</v>
      </c>
      <c r="AT22" s="3"/>
      <c r="AU22" s="3"/>
      <c r="AV22" s="3"/>
      <c r="AW22" s="3"/>
      <c r="AX22" s="3"/>
      <c r="AY22" s="3"/>
      <c r="BA22" s="3"/>
      <c r="BB22" s="3"/>
      <c r="BC22" s="3"/>
      <c r="BG22" s="159" t="s">
        <v>384</v>
      </c>
      <c r="BH22" s="160"/>
      <c r="BI22" s="161"/>
      <c r="BK22" s="3" t="s">
        <v>143</v>
      </c>
      <c r="BL22" s="3"/>
      <c r="BN22" s="3"/>
      <c r="BO22" s="3"/>
      <c r="BP22" s="3"/>
      <c r="BQ22" s="3"/>
      <c r="BR22" s="3"/>
    </row>
    <row r="23" spans="2:70">
      <c r="C23" t="s">
        <v>14</v>
      </c>
      <c r="T23" s="179" t="s">
        <v>222</v>
      </c>
      <c r="U23" s="180"/>
      <c r="V23" s="181"/>
      <c r="AK23" s="3"/>
      <c r="AL23" s="3"/>
      <c r="AM23" s="3"/>
      <c r="AO23" s="3"/>
      <c r="AP23" s="3"/>
      <c r="AR23" s="3" t="s">
        <v>144</v>
      </c>
      <c r="AT23" s="3"/>
      <c r="AU23" s="3"/>
      <c r="AV23" s="3"/>
      <c r="AW23" s="3"/>
      <c r="AX23" s="3"/>
      <c r="AY23" s="3"/>
      <c r="BA23" s="3"/>
      <c r="BB23" s="3"/>
      <c r="BC23" s="3"/>
      <c r="BG23" s="159" t="s">
        <v>384</v>
      </c>
      <c r="BH23" s="160"/>
      <c r="BI23" s="161"/>
      <c r="BK23" s="3" t="s">
        <v>143</v>
      </c>
      <c r="BL23" s="3"/>
      <c r="BN23" s="3"/>
      <c r="BO23" s="3"/>
      <c r="BP23" s="3"/>
      <c r="BR23" s="3"/>
    </row>
    <row r="24" spans="2:70">
      <c r="C24" t="s">
        <v>15</v>
      </c>
      <c r="Q24" s="16" t="s">
        <v>16</v>
      </c>
      <c r="S24" t="s">
        <v>2</v>
      </c>
      <c r="T24" s="173">
        <v>35</v>
      </c>
      <c r="U24" s="174"/>
      <c r="V24" s="175"/>
      <c r="W24" s="1" t="s">
        <v>18</v>
      </c>
      <c r="AC24" s="3" t="s">
        <v>119</v>
      </c>
      <c r="AK24" s="3"/>
      <c r="AL24" s="3"/>
      <c r="AM24" s="3"/>
      <c r="AN24" s="3"/>
      <c r="AO24" s="3"/>
      <c r="AP24" s="3" t="s">
        <v>403</v>
      </c>
      <c r="AR24" s="3"/>
      <c r="AS24" s="3"/>
      <c r="AT24" s="3"/>
      <c r="AU24" s="3"/>
      <c r="AV24" s="3"/>
      <c r="AW24" s="3"/>
      <c r="AX24" s="3"/>
      <c r="AY24" s="3"/>
      <c r="BA24" s="3"/>
      <c r="BB24" s="3"/>
      <c r="BC24" s="3"/>
      <c r="BG24" s="159" t="s">
        <v>140</v>
      </c>
      <c r="BH24" s="160"/>
      <c r="BI24" s="161"/>
      <c r="BK24" s="3" t="s">
        <v>145</v>
      </c>
      <c r="BL24" s="3"/>
      <c r="BN24" s="3"/>
      <c r="BO24" s="3"/>
      <c r="BP24" s="3"/>
      <c r="BR24" s="3"/>
    </row>
    <row r="25" spans="2:70">
      <c r="C25" t="s">
        <v>11</v>
      </c>
      <c r="Q25" s="16" t="s">
        <v>17</v>
      </c>
      <c r="S25" t="s">
        <v>2</v>
      </c>
      <c r="T25" s="173">
        <v>19</v>
      </c>
      <c r="U25" s="174"/>
      <c r="V25" s="175"/>
      <c r="W25" s="1" t="s">
        <v>12</v>
      </c>
      <c r="AC25" s="3" t="s">
        <v>119</v>
      </c>
      <c r="AK25" s="3"/>
      <c r="AL25" s="3"/>
      <c r="AM25" s="3"/>
      <c r="AN25" s="3"/>
      <c r="AO25" s="3" t="s">
        <v>404</v>
      </c>
      <c r="AQ25" s="3"/>
      <c r="AR25" s="3"/>
      <c r="AS25" s="3"/>
      <c r="AT25" s="3"/>
      <c r="AU25" s="3"/>
      <c r="AV25" s="3"/>
      <c r="AW25" s="3"/>
      <c r="AX25" s="3"/>
      <c r="AY25" s="3"/>
      <c r="BB25" s="3"/>
      <c r="BC25" s="3"/>
      <c r="BD25" s="120"/>
      <c r="BE25" s="120"/>
      <c r="BF25" s="120"/>
      <c r="BG25" s="159" t="s">
        <v>138</v>
      </c>
      <c r="BH25" s="160"/>
      <c r="BI25" s="161"/>
      <c r="BK25" s="3" t="s">
        <v>442</v>
      </c>
      <c r="BL25" s="3"/>
      <c r="BN25" s="3"/>
      <c r="BO25" s="3"/>
      <c r="BP25" s="3"/>
      <c r="BR25" s="3"/>
    </row>
    <row r="26" spans="2:70">
      <c r="C26" t="s">
        <v>476</v>
      </c>
      <c r="L26" s="119" t="s">
        <v>475</v>
      </c>
      <c r="N26" t="s">
        <v>480</v>
      </c>
      <c r="O26" s="16" t="s">
        <v>17</v>
      </c>
      <c r="P26" t="s">
        <v>481</v>
      </c>
      <c r="Q26" s="1">
        <v>9</v>
      </c>
      <c r="S26" t="s">
        <v>2</v>
      </c>
      <c r="T26" s="213">
        <f>T25-Q26</f>
        <v>10</v>
      </c>
      <c r="U26" s="214"/>
      <c r="V26" s="215"/>
      <c r="W26" s="1" t="s">
        <v>12</v>
      </c>
      <c r="AC26" s="3" t="s">
        <v>119</v>
      </c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BA26" s="3"/>
      <c r="BB26" s="3"/>
      <c r="BC26" s="3"/>
      <c r="BD26" s="3"/>
      <c r="BE26" s="3"/>
      <c r="BF26" s="3"/>
      <c r="BG26" s="3"/>
      <c r="BH26" s="3"/>
      <c r="BI26" s="3"/>
      <c r="BK26" s="3"/>
      <c r="BL26" s="3"/>
      <c r="BN26" s="3"/>
      <c r="BO26" s="3"/>
      <c r="BP26" s="3"/>
      <c r="BQ26" s="3"/>
      <c r="BR26" s="3"/>
    </row>
    <row r="27" spans="2:70">
      <c r="C27" t="s">
        <v>19</v>
      </c>
      <c r="Q27" s="2" t="s">
        <v>5</v>
      </c>
      <c r="S27" t="s">
        <v>2</v>
      </c>
      <c r="T27" s="173">
        <v>0</v>
      </c>
      <c r="U27" s="174"/>
      <c r="V27" s="175"/>
      <c r="W27" s="1" t="s">
        <v>10</v>
      </c>
      <c r="AC27" s="3" t="s">
        <v>119</v>
      </c>
      <c r="AK27" s="3" t="s">
        <v>146</v>
      </c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L27" s="3"/>
      <c r="BN27" s="3"/>
      <c r="BO27" s="3"/>
      <c r="BP27" s="3"/>
      <c r="BQ27" s="3"/>
      <c r="BR27" s="3"/>
    </row>
    <row r="28" spans="2:70">
      <c r="B28" t="s">
        <v>223</v>
      </c>
      <c r="AK28" s="3"/>
      <c r="AL28" s="3"/>
      <c r="AM28" s="3"/>
      <c r="AN28" s="3"/>
      <c r="AO28" s="3"/>
      <c r="AP28" s="134" t="s">
        <v>148</v>
      </c>
      <c r="AQ28" s="135"/>
      <c r="AR28" s="135"/>
      <c r="AS28" s="135"/>
      <c r="AT28" s="128" t="s">
        <v>497</v>
      </c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30"/>
      <c r="BF28" s="134" t="s">
        <v>482</v>
      </c>
      <c r="BG28" s="135"/>
      <c r="BH28" s="135"/>
      <c r="BI28" s="136"/>
      <c r="BJ28" s="3"/>
      <c r="BK28" s="3" t="s">
        <v>147</v>
      </c>
    </row>
    <row r="29" spans="2:70">
      <c r="C29" t="s">
        <v>399</v>
      </c>
      <c r="T29" s="205" t="s">
        <v>417</v>
      </c>
      <c r="U29" s="206"/>
      <c r="V29" s="206"/>
      <c r="W29" s="206"/>
      <c r="X29" s="206"/>
      <c r="Y29" s="207"/>
      <c r="AK29" s="3"/>
      <c r="AL29" s="3"/>
      <c r="AM29" s="3"/>
      <c r="AN29" s="3"/>
      <c r="AO29" s="3"/>
      <c r="AP29" s="137"/>
      <c r="AQ29" s="138"/>
      <c r="AR29" s="138"/>
      <c r="AS29" s="138"/>
      <c r="AT29" s="128" t="s">
        <v>149</v>
      </c>
      <c r="AU29" s="129"/>
      <c r="AV29" s="129"/>
      <c r="AW29" s="130"/>
      <c r="AX29" s="128" t="s">
        <v>150</v>
      </c>
      <c r="AY29" s="129"/>
      <c r="AZ29" s="129"/>
      <c r="BA29" s="130"/>
      <c r="BB29" s="128" t="s">
        <v>496</v>
      </c>
      <c r="BC29" s="129"/>
      <c r="BD29" s="129"/>
      <c r="BE29" s="130"/>
      <c r="BF29" s="137"/>
      <c r="BG29" s="138"/>
      <c r="BH29" s="138"/>
      <c r="BI29" s="139"/>
      <c r="BJ29" s="3"/>
    </row>
    <row r="30" spans="2:70">
      <c r="B30" s="3"/>
      <c r="C30" s="3" t="s">
        <v>20</v>
      </c>
      <c r="D30" s="3"/>
      <c r="E30" s="3"/>
      <c r="Q30" s="16" t="s">
        <v>23</v>
      </c>
      <c r="S30" t="s">
        <v>2</v>
      </c>
      <c r="T30" s="182">
        <v>0.6</v>
      </c>
      <c r="U30" s="183"/>
      <c r="V30" s="184"/>
      <c r="AC30" s="3" t="s">
        <v>120</v>
      </c>
      <c r="AK30" s="3"/>
      <c r="AL30" s="121"/>
      <c r="AM30" s="122" t="s">
        <v>29</v>
      </c>
      <c r="AN30" s="122"/>
      <c r="AO30" s="123"/>
      <c r="AP30" s="131" t="s">
        <v>151</v>
      </c>
      <c r="AQ30" s="132"/>
      <c r="AR30" s="132"/>
      <c r="AS30" s="133"/>
      <c r="AT30" s="131" t="s">
        <v>151</v>
      </c>
      <c r="AU30" s="132"/>
      <c r="AV30" s="132"/>
      <c r="AW30" s="133"/>
      <c r="AX30" s="131" t="s">
        <v>151</v>
      </c>
      <c r="AY30" s="132"/>
      <c r="AZ30" s="132"/>
      <c r="BA30" s="133"/>
      <c r="BB30" s="131" t="s">
        <v>498</v>
      </c>
      <c r="BC30" s="132"/>
      <c r="BD30" s="132"/>
      <c r="BE30" s="133"/>
      <c r="BF30" s="131" t="s">
        <v>151</v>
      </c>
      <c r="BG30" s="132"/>
      <c r="BH30" s="132"/>
      <c r="BI30" s="133"/>
      <c r="BJ30" s="3"/>
    </row>
    <row r="31" spans="2:70">
      <c r="B31" s="3"/>
      <c r="C31" s="3" t="s">
        <v>21</v>
      </c>
      <c r="D31" s="3"/>
      <c r="E31" s="3"/>
      <c r="Q31" s="2" t="s">
        <v>400</v>
      </c>
      <c r="S31" t="s">
        <v>2</v>
      </c>
      <c r="T31" s="173">
        <v>0</v>
      </c>
      <c r="U31" s="174"/>
      <c r="V31" s="175"/>
      <c r="W31" s="1" t="s">
        <v>10</v>
      </c>
      <c r="AC31" s="3" t="s">
        <v>120</v>
      </c>
    </row>
    <row r="32" spans="2:70">
      <c r="B32" s="3"/>
      <c r="C32" s="3" t="s">
        <v>22</v>
      </c>
      <c r="D32" s="3"/>
      <c r="E32" s="3"/>
      <c r="Q32" s="1" t="s">
        <v>24</v>
      </c>
      <c r="S32" t="s">
        <v>2</v>
      </c>
      <c r="T32" s="173">
        <v>300</v>
      </c>
      <c r="U32" s="174"/>
      <c r="V32" s="175"/>
      <c r="W32" s="1" t="s">
        <v>10</v>
      </c>
      <c r="AC32" s="3" t="s">
        <v>121</v>
      </c>
      <c r="AG32" s="3"/>
      <c r="AH32" s="3"/>
      <c r="AI32" s="3"/>
      <c r="AK32" t="s">
        <v>438</v>
      </c>
    </row>
    <row r="33" spans="1:70">
      <c r="C33" s="3" t="s">
        <v>217</v>
      </c>
      <c r="Z33" s="3"/>
      <c r="AA33" s="3"/>
      <c r="AB33" s="3"/>
      <c r="AG33" s="3"/>
      <c r="AH33" s="3"/>
      <c r="AI33" s="3"/>
      <c r="AT33" s="185" t="s">
        <v>29</v>
      </c>
      <c r="AU33" s="186"/>
      <c r="AV33" s="186"/>
      <c r="AW33" s="186"/>
      <c r="AX33" s="186"/>
      <c r="AY33" s="187"/>
      <c r="AZ33" s="3"/>
      <c r="BA33" s="3"/>
      <c r="BB33" s="3"/>
      <c r="BC33" s="3"/>
      <c r="BD33" s="3"/>
      <c r="BE33" s="3"/>
    </row>
    <row r="34" spans="1:70">
      <c r="A34" s="32"/>
      <c r="T34" s="199" t="s">
        <v>28</v>
      </c>
      <c r="U34" s="200"/>
      <c r="V34" s="201"/>
      <c r="Y34" s="3"/>
      <c r="Z34" s="3"/>
      <c r="AA34" s="3"/>
      <c r="AB34" s="3"/>
      <c r="AE34" s="3"/>
      <c r="AF34" s="3"/>
      <c r="AG34" s="3"/>
      <c r="AH34" s="3"/>
      <c r="AI34" s="3"/>
      <c r="AJ34" s="3"/>
      <c r="AL34" s="185" t="s">
        <v>30</v>
      </c>
      <c r="AM34" s="186"/>
      <c r="AN34" s="186"/>
      <c r="AO34" s="186"/>
      <c r="AP34" s="186"/>
      <c r="AQ34" s="186"/>
      <c r="AR34" s="186"/>
      <c r="AS34" s="187"/>
      <c r="AT34" s="197" t="s">
        <v>156</v>
      </c>
      <c r="AU34" s="198"/>
      <c r="AV34" s="198"/>
      <c r="AW34" s="198"/>
      <c r="AX34" s="193">
        <v>2</v>
      </c>
      <c r="AY34" s="194"/>
      <c r="AZ34" s="3"/>
      <c r="BA34" s="3"/>
      <c r="BB34" s="3"/>
      <c r="BC34" s="3"/>
      <c r="BD34" s="3"/>
      <c r="BE34" s="3"/>
      <c r="BJ34" s="3"/>
      <c r="BK34" s="3" t="s">
        <v>385</v>
      </c>
      <c r="BM34" s="3"/>
    </row>
    <row r="35" spans="1:70" s="3" customFormat="1">
      <c r="B35" s="3" t="s">
        <v>25</v>
      </c>
      <c r="AD35"/>
      <c r="AE35"/>
      <c r="AK35"/>
      <c r="AL35" s="185" t="s">
        <v>31</v>
      </c>
      <c r="AM35" s="186"/>
      <c r="AN35" s="186"/>
      <c r="AO35" s="186"/>
      <c r="AP35" s="186"/>
      <c r="AQ35" s="186"/>
      <c r="AR35" s="186"/>
      <c r="AS35" s="187"/>
      <c r="AT35" s="190">
        <v>1.5</v>
      </c>
      <c r="AU35" s="191"/>
      <c r="AV35" s="191"/>
      <c r="AW35" s="191"/>
      <c r="AX35" s="191"/>
      <c r="AY35" s="192"/>
      <c r="BF35"/>
      <c r="BG35"/>
      <c r="BH35"/>
      <c r="BI35"/>
      <c r="BK35" s="3" t="s">
        <v>386</v>
      </c>
      <c r="BL35"/>
      <c r="BN35"/>
      <c r="BO35"/>
      <c r="BP35"/>
      <c r="BQ35"/>
      <c r="BR35"/>
    </row>
    <row r="36" spans="1:70" s="3" customFormat="1">
      <c r="C36" s="3" t="s">
        <v>26</v>
      </c>
      <c r="E36"/>
      <c r="F36"/>
      <c r="G36"/>
      <c r="H36"/>
      <c r="I36"/>
      <c r="J36"/>
      <c r="K36"/>
      <c r="L36"/>
      <c r="M36"/>
      <c r="Q36" s="2" t="s">
        <v>27</v>
      </c>
      <c r="R36"/>
      <c r="S36" t="s">
        <v>2</v>
      </c>
      <c r="T36" s="173">
        <v>10</v>
      </c>
      <c r="U36" s="174"/>
      <c r="V36" s="175"/>
      <c r="W36" s="1" t="s">
        <v>10</v>
      </c>
      <c r="X36"/>
      <c r="AC36" s="3" t="s">
        <v>122</v>
      </c>
      <c r="AD36"/>
      <c r="AK36"/>
      <c r="AL36" s="185" t="s">
        <v>32</v>
      </c>
      <c r="AM36" s="186"/>
      <c r="AN36" s="186"/>
      <c r="AO36" s="186"/>
      <c r="AP36" s="186"/>
      <c r="AQ36" s="186"/>
      <c r="AR36" s="186"/>
      <c r="AS36" s="187"/>
      <c r="AT36" s="195">
        <f>T32</f>
        <v>300</v>
      </c>
      <c r="AU36" s="196"/>
      <c r="AV36" s="196"/>
      <c r="AW36" s="188" t="s">
        <v>33</v>
      </c>
      <c r="AX36" s="188"/>
      <c r="AY36" s="189"/>
      <c r="BF36"/>
      <c r="BG36"/>
      <c r="BH36"/>
      <c r="BI36"/>
      <c r="BK36" s="3" t="s">
        <v>387</v>
      </c>
      <c r="BL36"/>
      <c r="BN36"/>
      <c r="BO36"/>
      <c r="BQ36"/>
      <c r="BR36"/>
    </row>
    <row r="37" spans="1:70" s="3" customFormat="1">
      <c r="A37" s="32"/>
      <c r="C37" s="3" t="s">
        <v>483</v>
      </c>
      <c r="E37"/>
      <c r="F37"/>
      <c r="G37"/>
      <c r="H37"/>
      <c r="I37"/>
      <c r="J37"/>
      <c r="K37"/>
      <c r="L37"/>
      <c r="M37"/>
      <c r="N37"/>
      <c r="O37"/>
      <c r="P37"/>
      <c r="Q37" s="2" t="s">
        <v>457</v>
      </c>
      <c r="R37"/>
      <c r="S37" t="s">
        <v>2</v>
      </c>
      <c r="T37" s="164">
        <v>3.7</v>
      </c>
      <c r="U37" s="165"/>
      <c r="V37" s="166"/>
      <c r="W37" s="1" t="s">
        <v>3</v>
      </c>
      <c r="AL37" s="185" t="s">
        <v>405</v>
      </c>
      <c r="AM37" s="186"/>
      <c r="AN37" s="186"/>
      <c r="AO37" s="186"/>
      <c r="AP37" s="186"/>
      <c r="AQ37" s="186"/>
      <c r="AR37" s="186"/>
      <c r="AS37" s="187"/>
      <c r="AT37" s="202" t="s">
        <v>406</v>
      </c>
      <c r="AU37" s="191"/>
      <c r="AV37" s="191"/>
      <c r="AW37" s="191"/>
      <c r="AX37" s="191"/>
      <c r="AY37" s="192"/>
      <c r="BK37" s="3" t="s">
        <v>407</v>
      </c>
      <c r="BR37"/>
    </row>
    <row r="38" spans="1:70" s="3" customFormat="1">
      <c r="C38" t="s">
        <v>458</v>
      </c>
      <c r="Q38" s="16" t="s">
        <v>459</v>
      </c>
      <c r="R38"/>
      <c r="S38" t="s">
        <v>2</v>
      </c>
      <c r="T38" s="182">
        <v>9.8000000000000007</v>
      </c>
      <c r="U38" s="183"/>
      <c r="V38" s="184"/>
      <c r="W38" s="1" t="s">
        <v>12</v>
      </c>
      <c r="AI38" s="3">
        <v>1</v>
      </c>
      <c r="BR38" s="3">
        <f>AI38+1</f>
        <v>2</v>
      </c>
    </row>
    <row r="39" spans="1:70" s="3" customFormat="1"/>
    <row r="40" spans="1:70" s="3" customFormat="1"/>
    <row r="41" spans="1:70" s="3" customFormat="1"/>
    <row r="42" spans="1:70" s="3" customFormat="1">
      <c r="Y42"/>
      <c r="Z42"/>
      <c r="AA42"/>
      <c r="AB42"/>
      <c r="AG42"/>
      <c r="AH42"/>
    </row>
    <row r="43" spans="1:70" s="3" customFormat="1">
      <c r="Y43"/>
      <c r="Z43"/>
      <c r="AA43"/>
      <c r="AB43"/>
      <c r="AF43"/>
      <c r="AG43"/>
      <c r="AH43"/>
      <c r="AI43"/>
    </row>
    <row r="44" spans="1:70" s="3" customFormat="1">
      <c r="A44" s="32"/>
      <c r="Y44"/>
      <c r="Z44"/>
      <c r="AA44"/>
      <c r="AB44"/>
      <c r="AE44"/>
      <c r="AF44"/>
      <c r="AG44"/>
      <c r="AH44"/>
      <c r="AI44"/>
      <c r="BP44"/>
    </row>
    <row r="45" spans="1:70" s="3" customForma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AC45"/>
      <c r="AD45"/>
      <c r="AE45"/>
      <c r="AF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</row>
    <row r="46" spans="1:70">
      <c r="Y46" s="3"/>
      <c r="Z46" s="3"/>
      <c r="AA46" s="3"/>
      <c r="AB46" s="3"/>
      <c r="AF46" s="3"/>
      <c r="AG46" s="3"/>
      <c r="AH46" s="3"/>
      <c r="AI46" s="3"/>
    </row>
    <row r="47" spans="1:70">
      <c r="Y47" s="3"/>
      <c r="Z47" s="3"/>
      <c r="AA47" s="3"/>
      <c r="AB47" s="3"/>
      <c r="AE47" s="3"/>
      <c r="AF47" s="3"/>
      <c r="AG47" s="3"/>
      <c r="AH47" s="3"/>
      <c r="AI47" s="3"/>
      <c r="BP47" s="3"/>
    </row>
    <row r="48" spans="1:70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</row>
    <row r="49" spans="1:69" s="3" customFormat="1"/>
    <row r="50" spans="1:69" s="3" customFormat="1"/>
    <row r="51" spans="1:69" s="3" customFormat="1"/>
    <row r="52" spans="1:69" s="3" customFormat="1"/>
    <row r="53" spans="1:69" s="3" customFormat="1"/>
    <row r="54" spans="1:69" s="3" customFormat="1"/>
    <row r="55" spans="1:69" s="3" customFormat="1"/>
    <row r="56" spans="1:69" s="3" customFormat="1"/>
    <row r="57" spans="1:69" s="3" customFormat="1"/>
    <row r="58" spans="1:69" s="3" customFormat="1">
      <c r="A58" s="32"/>
    </row>
    <row r="59" spans="1:69" s="3" customFormat="1">
      <c r="Y59"/>
      <c r="Z59"/>
      <c r="AA59"/>
      <c r="AB59"/>
      <c r="AG59"/>
      <c r="AH59"/>
    </row>
    <row r="60" spans="1:69" s="3" customFormat="1">
      <c r="Y60"/>
      <c r="Z60"/>
      <c r="AA60"/>
      <c r="AB60"/>
      <c r="AF60"/>
      <c r="AG60"/>
      <c r="AH60"/>
      <c r="AI60"/>
    </row>
    <row r="61" spans="1:69" s="3" customFormat="1">
      <c r="Y61"/>
      <c r="Z61"/>
      <c r="AA61"/>
      <c r="AB61"/>
      <c r="AE61"/>
      <c r="AF61"/>
      <c r="AG61"/>
      <c r="AH61"/>
      <c r="AI61"/>
      <c r="BP61"/>
    </row>
    <row r="62" spans="1:69" s="3" customForma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</row>
  </sheetData>
  <sheetProtection sheet="1" objects="1" scenarios="1"/>
  <mergeCells count="78">
    <mergeCell ref="T38:V38"/>
    <mergeCell ref="T34:V34"/>
    <mergeCell ref="AT37:AY37"/>
    <mergeCell ref="M18:N18"/>
    <mergeCell ref="M19:N19"/>
    <mergeCell ref="M20:N20"/>
    <mergeCell ref="T29:Y29"/>
    <mergeCell ref="AL37:AS37"/>
    <mergeCell ref="O20:P20"/>
    <mergeCell ref="Q20:R20"/>
    <mergeCell ref="T19:V19"/>
    <mergeCell ref="T20:V20"/>
    <mergeCell ref="T27:V27"/>
    <mergeCell ref="T26:V26"/>
    <mergeCell ref="T31:V31"/>
    <mergeCell ref="T32:V32"/>
    <mergeCell ref="T30:V30"/>
    <mergeCell ref="T37:V37"/>
    <mergeCell ref="T36:V36"/>
    <mergeCell ref="AT33:AY33"/>
    <mergeCell ref="AW36:AY36"/>
    <mergeCell ref="AL35:AS35"/>
    <mergeCell ref="AT35:AY35"/>
    <mergeCell ref="AX34:AY34"/>
    <mergeCell ref="AL36:AS36"/>
    <mergeCell ref="AT36:AV36"/>
    <mergeCell ref="AL34:AS34"/>
    <mergeCell ref="AT34:AW34"/>
    <mergeCell ref="BG24:BI24"/>
    <mergeCell ref="T11:V11"/>
    <mergeCell ref="BG17:BI17"/>
    <mergeCell ref="BG23:BI23"/>
    <mergeCell ref="BG25:BI25"/>
    <mergeCell ref="BG20:BI20"/>
    <mergeCell ref="BG21:BI21"/>
    <mergeCell ref="BG22:BI22"/>
    <mergeCell ref="T23:V23"/>
    <mergeCell ref="T24:V24"/>
    <mergeCell ref="T25:V25"/>
    <mergeCell ref="T9:V9"/>
    <mergeCell ref="T16:V16"/>
    <mergeCell ref="T17:V17"/>
    <mergeCell ref="T12:V12"/>
    <mergeCell ref="T13:V13"/>
    <mergeCell ref="T10:V10"/>
    <mergeCell ref="T8:V8"/>
    <mergeCell ref="T5:V5"/>
    <mergeCell ref="BG2:BI2"/>
    <mergeCell ref="BG6:BI6"/>
    <mergeCell ref="BG4:BI4"/>
    <mergeCell ref="T6:V6"/>
    <mergeCell ref="BP3:BQ3"/>
    <mergeCell ref="AP3:AQ3"/>
    <mergeCell ref="AT3:AV3"/>
    <mergeCell ref="BG3:BI3"/>
    <mergeCell ref="O19:P19"/>
    <mergeCell ref="O18:P18"/>
    <mergeCell ref="T18:V18"/>
    <mergeCell ref="BG5:BI5"/>
    <mergeCell ref="BG7:BI7"/>
    <mergeCell ref="BG12:BI12"/>
    <mergeCell ref="BG13:BI13"/>
    <mergeCell ref="BG14:BI14"/>
    <mergeCell ref="Y9:AA9"/>
    <mergeCell ref="BG10:BI10"/>
    <mergeCell ref="BG11:BI11"/>
    <mergeCell ref="T7:V7"/>
    <mergeCell ref="BB29:BE29"/>
    <mergeCell ref="BB30:BE30"/>
    <mergeCell ref="AT28:BE28"/>
    <mergeCell ref="AP30:AS30"/>
    <mergeCell ref="BF30:BI30"/>
    <mergeCell ref="AT30:AW30"/>
    <mergeCell ref="AX30:BA30"/>
    <mergeCell ref="AT29:AW29"/>
    <mergeCell ref="AX29:BA29"/>
    <mergeCell ref="BF28:BI29"/>
    <mergeCell ref="AP28:AS29"/>
  </mergeCells>
  <phoneticPr fontId="1"/>
  <conditionalFormatting sqref="BP3:BQ3">
    <cfRule type="cellIs" dxfId="7" priority="1" operator="equal">
      <formula>"NG"</formula>
    </cfRule>
  </conditionalFormatting>
  <dataValidations count="5">
    <dataValidation type="list" allowBlank="1" showInputMessage="1" showErrorMessage="1" sqref="BG20:BG25" xr:uid="{0CC3604F-C0EA-4D4E-83D1-9026DA6350C6}">
      <formula1>"要, 不要"</formula1>
    </dataValidation>
    <dataValidation type="list" allowBlank="1" showInputMessage="1" showErrorMessage="1" sqref="BG11:BG14" xr:uid="{A514AB4C-928D-4DB5-8FA3-E1D3EAECEA45}">
      <formula1>"性能１, 性能２, 性能３"</formula1>
    </dataValidation>
    <dataValidation type="list" allowBlank="1" showInputMessage="1" showErrorMessage="1" sqref="BG10" xr:uid="{32C487C4-DFB9-4DFD-ABD7-E2A27B2C4706}">
      <formula1>"重要度１, 重要度２"</formula1>
    </dataValidation>
    <dataValidation type="list" allowBlank="1" showInputMessage="1" showErrorMessage="1" sqref="AP30 AX30 BF30 AT30" xr:uid="{77DAE85E-65A3-4781-94E6-DDE2C86997B4}">
      <formula1>"有り, ー"</formula1>
    </dataValidation>
    <dataValidation type="list" allowBlank="1" showInputMessage="1" showErrorMessage="1" sqref="BB30:BE30" xr:uid="{9E55584C-09C6-4962-BA3A-D0817792EA79}">
      <formula1>"考慮, ー"</formula1>
    </dataValidation>
  </dataValidations>
  <hyperlinks>
    <hyperlink ref="AA1" r:id="rId1" xr:uid="{399A0A21-B9A3-40F7-98DC-804C477AE66F}"/>
  </hyperlinks>
  <pageMargins left="0.70866141732283472" right="0.70866141732283472" top="0.74803149606299213" bottom="0.74803149606299213" header="0.31496062992125984" footer="0.31496062992125984"/>
  <pageSetup paperSize="9" scale="75" orientation="portrait" r:id="rId2"/>
  <colBreaks count="1" manualBreakCount="1">
    <brk id="35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7C9CF-3071-4036-8A45-03514AF22043}">
  <dimension ref="A1:DA39"/>
  <sheetViews>
    <sheetView showGridLines="0" view="pageBreakPreview" zoomScale="60" zoomScaleNormal="65" workbookViewId="0">
      <selection activeCell="A2" sqref="A2"/>
    </sheetView>
  </sheetViews>
  <sheetFormatPr defaultRowHeight="18"/>
  <cols>
    <col min="1" max="105" width="3" customWidth="1"/>
  </cols>
  <sheetData>
    <row r="1" spans="1:93">
      <c r="A1" t="s">
        <v>408</v>
      </c>
    </row>
    <row r="2" spans="1:93">
      <c r="B2" t="s">
        <v>409</v>
      </c>
      <c r="AL2" t="s">
        <v>412</v>
      </c>
      <c r="BU2" t="s">
        <v>415</v>
      </c>
    </row>
    <row r="3" spans="1:93">
      <c r="C3" t="s">
        <v>410</v>
      </c>
      <c r="AM3" s="2"/>
      <c r="AN3" s="34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64"/>
      <c r="BF3" s="35"/>
      <c r="BG3" s="35"/>
      <c r="BH3" s="35"/>
      <c r="BI3" s="35"/>
      <c r="BJ3" s="35"/>
      <c r="BK3" s="35"/>
      <c r="BL3" s="36"/>
      <c r="BM3" s="35"/>
      <c r="BN3" s="35"/>
      <c r="BO3" s="143"/>
      <c r="BP3" s="143"/>
      <c r="BQ3" s="143"/>
      <c r="BR3" s="37"/>
      <c r="BV3" t="s">
        <v>261</v>
      </c>
    </row>
    <row r="4" spans="1:93">
      <c r="C4" t="s">
        <v>411</v>
      </c>
      <c r="AN4" s="5"/>
      <c r="BL4" s="2"/>
      <c r="BM4" s="2"/>
      <c r="BO4" s="216"/>
      <c r="BP4" s="216"/>
      <c r="BQ4" s="216"/>
      <c r="BR4" s="38"/>
      <c r="BS4" s="1"/>
      <c r="CG4" s="134" t="s">
        <v>272</v>
      </c>
      <c r="CH4" s="135"/>
      <c r="CI4" s="136"/>
      <c r="CJ4" s="134" t="s">
        <v>270</v>
      </c>
      <c r="CK4" s="135"/>
      <c r="CL4" s="136"/>
      <c r="CM4" s="134" t="s">
        <v>286</v>
      </c>
      <c r="CN4" s="135"/>
      <c r="CO4" s="136"/>
    </row>
    <row r="5" spans="1:93"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6" t="s">
        <v>36</v>
      </c>
      <c r="AD5" s="35"/>
      <c r="AE5" s="35" t="s">
        <v>2</v>
      </c>
      <c r="AF5" s="143">
        <f>'1.設計条件'!T7</f>
        <v>1.1000000000000001</v>
      </c>
      <c r="AG5" s="143"/>
      <c r="AH5" s="143"/>
      <c r="AI5" s="37" t="s">
        <v>3</v>
      </c>
      <c r="AJ5" s="1"/>
      <c r="AN5" s="5"/>
      <c r="BL5" s="2" t="s">
        <v>251</v>
      </c>
      <c r="BM5" s="2"/>
      <c r="BN5" t="s">
        <v>2</v>
      </c>
      <c r="BO5" s="216">
        <f>'1.設計条件'!BG5</f>
        <v>1</v>
      </c>
      <c r="BP5" s="216"/>
      <c r="BQ5" s="216"/>
      <c r="BR5" s="38" t="s">
        <v>3</v>
      </c>
      <c r="BS5" s="1"/>
      <c r="CG5" s="224" t="s">
        <v>273</v>
      </c>
      <c r="CH5" s="218"/>
      <c r="CI5" s="225"/>
      <c r="CJ5" s="224" t="s">
        <v>271</v>
      </c>
      <c r="CK5" s="218"/>
      <c r="CL5" s="225"/>
      <c r="CM5" s="224" t="s">
        <v>287</v>
      </c>
      <c r="CN5" s="218"/>
      <c r="CO5" s="225"/>
    </row>
    <row r="6" spans="1:93">
      <c r="E6" s="5"/>
      <c r="AC6" s="2" t="s">
        <v>231</v>
      </c>
      <c r="AD6" s="2"/>
      <c r="AE6" t="s">
        <v>2</v>
      </c>
      <c r="AF6" s="216">
        <f>'1.設計条件'!T8</f>
        <v>0.3</v>
      </c>
      <c r="AG6" s="216"/>
      <c r="AH6" s="216"/>
      <c r="AI6" s="38" t="s">
        <v>3</v>
      </c>
      <c r="AJ6" s="1"/>
      <c r="AN6" s="5"/>
      <c r="BJ6" s="1">
        <v>1</v>
      </c>
      <c r="BK6" t="s">
        <v>6</v>
      </c>
      <c r="BL6" s="2" t="s">
        <v>233</v>
      </c>
      <c r="BM6" s="2"/>
      <c r="BO6" s="220">
        <f>AF8</f>
        <v>0.4</v>
      </c>
      <c r="BP6" s="220"/>
      <c r="BQ6" s="220"/>
      <c r="BR6" s="6"/>
      <c r="BS6" s="1"/>
      <c r="CG6" s="221" t="s">
        <v>274</v>
      </c>
      <c r="CH6" s="222"/>
      <c r="CI6" s="223"/>
      <c r="CJ6" s="221" t="s">
        <v>101</v>
      </c>
      <c r="CK6" s="222"/>
      <c r="CL6" s="223"/>
      <c r="CM6" s="221" t="s">
        <v>288</v>
      </c>
      <c r="CN6" s="222"/>
      <c r="CO6" s="223"/>
    </row>
    <row r="7" spans="1:93">
      <c r="E7" s="5"/>
      <c r="AC7" s="2" t="s">
        <v>235</v>
      </c>
      <c r="AD7" s="2"/>
      <c r="AE7" t="s">
        <v>2</v>
      </c>
      <c r="AF7" s="216">
        <f>'1.設計条件'!BG4</f>
        <v>0.49999999999999983</v>
      </c>
      <c r="AG7" s="216"/>
      <c r="AH7" s="216"/>
      <c r="AI7" s="38" t="s">
        <v>3</v>
      </c>
      <c r="AJ7" s="1"/>
      <c r="AN7" s="5"/>
      <c r="BL7" s="2" t="s">
        <v>236</v>
      </c>
      <c r="BN7" t="s">
        <v>2</v>
      </c>
      <c r="BO7" s="216">
        <f>'1.設計条件'!BG2</f>
        <v>0.83499999999999996</v>
      </c>
      <c r="BP7" s="216"/>
      <c r="BQ7" s="216"/>
      <c r="BR7" s="38" t="s">
        <v>3</v>
      </c>
      <c r="BW7" s="234" t="s">
        <v>262</v>
      </c>
      <c r="BX7" s="235"/>
      <c r="BY7" s="235"/>
      <c r="BZ7" s="236"/>
      <c r="CA7" s="228" t="s">
        <v>265</v>
      </c>
      <c r="CB7" s="228"/>
      <c r="CC7" s="228"/>
      <c r="CD7" s="228"/>
      <c r="CE7" s="228"/>
      <c r="CF7" s="228"/>
      <c r="CG7" s="226">
        <f>AD13</f>
        <v>0.81</v>
      </c>
      <c r="CH7" s="226"/>
      <c r="CI7" s="226"/>
      <c r="CJ7" s="226">
        <f>AD14</f>
        <v>7.5900000000000007</v>
      </c>
      <c r="CK7" s="227"/>
      <c r="CL7" s="227"/>
      <c r="CM7" s="226">
        <f>CG7*CJ7</f>
        <v>6.1479000000000008</v>
      </c>
      <c r="CN7" s="227"/>
      <c r="CO7" s="227"/>
    </row>
    <row r="8" spans="1:93">
      <c r="E8" s="5"/>
      <c r="AA8" s="1">
        <v>1</v>
      </c>
      <c r="AB8" t="s">
        <v>6</v>
      </c>
      <c r="AC8" s="2" t="s">
        <v>233</v>
      </c>
      <c r="AD8" s="2"/>
      <c r="AF8" s="220">
        <f>'1.設計条件'!T13</f>
        <v>0.4</v>
      </c>
      <c r="AG8" s="220"/>
      <c r="AH8" s="220"/>
      <c r="AI8" s="6"/>
      <c r="AN8" s="5"/>
      <c r="BR8" s="6"/>
      <c r="BS8" s="1"/>
      <c r="BW8" s="5"/>
      <c r="BZ8" s="6"/>
      <c r="CA8" s="229" t="s">
        <v>266</v>
      </c>
      <c r="CB8" s="229"/>
      <c r="CC8" s="229"/>
      <c r="CD8" s="229"/>
      <c r="CE8" s="229"/>
      <c r="CF8" s="229"/>
      <c r="CG8" s="226">
        <f>AD25</f>
        <v>0.51749999999999996</v>
      </c>
      <c r="CH8" s="227"/>
      <c r="CI8" s="227"/>
      <c r="CJ8" s="226">
        <f>AD26</f>
        <v>9.6024999999999956</v>
      </c>
      <c r="CK8" s="227"/>
      <c r="CL8" s="227"/>
      <c r="CM8" s="226">
        <f t="shared" ref="CM8:CM9" si="0">CG8*CJ8</f>
        <v>4.9692937499999976</v>
      </c>
      <c r="CN8" s="227"/>
      <c r="CO8" s="227"/>
    </row>
    <row r="9" spans="1:93">
      <c r="E9" s="5"/>
      <c r="AC9" s="2" t="s">
        <v>37</v>
      </c>
      <c r="AE9" t="s">
        <v>2</v>
      </c>
      <c r="AF9" s="216">
        <f>AF6*AF8</f>
        <v>0.12</v>
      </c>
      <c r="AG9" s="216"/>
      <c r="AH9" s="216"/>
      <c r="AI9" s="38" t="s">
        <v>3</v>
      </c>
      <c r="AJ9" s="1"/>
      <c r="AN9" s="5"/>
      <c r="BL9" s="2" t="s">
        <v>256</v>
      </c>
      <c r="BN9" t="s">
        <v>2</v>
      </c>
      <c r="BO9" s="216">
        <f>BO6*BO5</f>
        <v>0.4</v>
      </c>
      <c r="BP9" s="216"/>
      <c r="BQ9" s="216"/>
      <c r="BR9" s="38" t="s">
        <v>3</v>
      </c>
      <c r="BW9" s="5"/>
      <c r="BZ9" s="6"/>
      <c r="CA9" s="229" t="s">
        <v>267</v>
      </c>
      <c r="CB9" s="229"/>
      <c r="CC9" s="229"/>
      <c r="CD9" s="229"/>
      <c r="CE9" s="229"/>
      <c r="CF9" s="229"/>
      <c r="CG9" s="226">
        <f>AD37</f>
        <v>1.0674999999999999</v>
      </c>
      <c r="CH9" s="227"/>
      <c r="CI9" s="227"/>
      <c r="CJ9" s="226">
        <f>AD38</f>
        <v>3.0475000000000003</v>
      </c>
      <c r="CK9" s="227"/>
      <c r="CL9" s="227"/>
      <c r="CM9" s="226">
        <f t="shared" si="0"/>
        <v>3.2532062499999999</v>
      </c>
      <c r="CN9" s="227"/>
      <c r="CO9" s="227"/>
    </row>
    <row r="10" spans="1:93">
      <c r="E10" s="5"/>
      <c r="AC10" s="2" t="s">
        <v>234</v>
      </c>
      <c r="AE10" t="s">
        <v>2</v>
      </c>
      <c r="AF10" s="216">
        <f>AF8*AF7</f>
        <v>0.19999999999999996</v>
      </c>
      <c r="AG10" s="216"/>
      <c r="AH10" s="216"/>
      <c r="AI10" s="38" t="s">
        <v>3</v>
      </c>
      <c r="AJ10" s="1"/>
      <c r="AN10" s="7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8"/>
      <c r="BS10" s="1"/>
      <c r="BW10" s="5"/>
      <c r="BZ10" s="6"/>
      <c r="CA10" s="230" t="s">
        <v>268</v>
      </c>
      <c r="CB10" s="230"/>
      <c r="CC10" s="230"/>
      <c r="CD10" s="230"/>
      <c r="CE10" s="230"/>
      <c r="CF10" s="230"/>
      <c r="CG10" s="233"/>
      <c r="CH10" s="233"/>
      <c r="CI10" s="233"/>
      <c r="CJ10" s="232">
        <f>SUM(CJ7:CL9)</f>
        <v>20.239999999999995</v>
      </c>
      <c r="CK10" s="233"/>
      <c r="CL10" s="233"/>
      <c r="CM10" s="232">
        <f>SUM(CM7:CO9)</f>
        <v>14.370399999999998</v>
      </c>
      <c r="CN10" s="233"/>
      <c r="CO10" s="233"/>
    </row>
    <row r="11" spans="1:93">
      <c r="E11" s="7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8"/>
      <c r="AN11" t="s">
        <v>38</v>
      </c>
      <c r="AQ11" s="218" t="s">
        <v>39</v>
      </c>
      <c r="AR11" s="218"/>
      <c r="AS11" t="s">
        <v>2</v>
      </c>
      <c r="AT11" s="218" t="s">
        <v>236</v>
      </c>
      <c r="AU11" s="218"/>
      <c r="AV11" s="12" t="s">
        <v>43</v>
      </c>
      <c r="AW11" s="218" t="s">
        <v>251</v>
      </c>
      <c r="AX11" s="218"/>
      <c r="AZ11" t="s">
        <v>2</v>
      </c>
      <c r="BA11" s="216">
        <f>BO7</f>
        <v>0.83499999999999996</v>
      </c>
      <c r="BB11" s="141"/>
      <c r="BC11" s="141"/>
      <c r="BD11" s="12" t="s">
        <v>43</v>
      </c>
      <c r="BE11" s="216">
        <f>BO5</f>
        <v>1</v>
      </c>
      <c r="BF11" s="141"/>
      <c r="BG11" s="141"/>
      <c r="BL11" t="s">
        <v>2</v>
      </c>
      <c r="BM11" s="216">
        <f>BA11*BE11</f>
        <v>0.83499999999999996</v>
      </c>
      <c r="BN11" s="141"/>
      <c r="BO11" s="141"/>
      <c r="BP11" s="1" t="s">
        <v>238</v>
      </c>
      <c r="BW11" s="234" t="s">
        <v>263</v>
      </c>
      <c r="BX11" s="235"/>
      <c r="BY11" s="235"/>
      <c r="BZ11" s="236"/>
      <c r="CA11" s="229" t="s">
        <v>266</v>
      </c>
      <c r="CB11" s="229"/>
      <c r="CC11" s="229"/>
      <c r="CD11" s="229"/>
      <c r="CE11" s="229"/>
      <c r="CF11" s="229"/>
      <c r="CG11" s="226">
        <f>BM12</f>
        <v>0.61749999999999994</v>
      </c>
      <c r="CH11" s="227"/>
      <c r="CI11" s="227"/>
      <c r="CJ11" s="226">
        <f>BM13</f>
        <v>19.204999999999998</v>
      </c>
      <c r="CK11" s="227"/>
      <c r="CL11" s="227"/>
      <c r="CM11" s="226">
        <f>CG11*CJ11</f>
        <v>11.859087499999998</v>
      </c>
      <c r="CN11" s="227"/>
      <c r="CO11" s="227"/>
    </row>
    <row r="12" spans="1:93">
      <c r="E12" t="s">
        <v>38</v>
      </c>
      <c r="H12" s="218" t="s">
        <v>39</v>
      </c>
      <c r="I12" s="218"/>
      <c r="J12" t="s">
        <v>237</v>
      </c>
      <c r="K12" s="218" t="s">
        <v>36</v>
      </c>
      <c r="L12" s="218"/>
      <c r="M12" s="12" t="s">
        <v>43</v>
      </c>
      <c r="N12" s="218" t="s">
        <v>231</v>
      </c>
      <c r="O12" s="218"/>
      <c r="Q12" t="s">
        <v>2</v>
      </c>
      <c r="R12" s="216">
        <f>AF5</f>
        <v>1.1000000000000001</v>
      </c>
      <c r="S12" s="141"/>
      <c r="T12" s="141"/>
      <c r="U12" s="12" t="s">
        <v>43</v>
      </c>
      <c r="V12" s="216">
        <f>AF6</f>
        <v>0.3</v>
      </c>
      <c r="W12" s="141"/>
      <c r="X12" s="141"/>
      <c r="AC12" t="s">
        <v>2</v>
      </c>
      <c r="AD12" s="216">
        <f>R12*V12</f>
        <v>0.33</v>
      </c>
      <c r="AE12" s="141"/>
      <c r="AF12" s="141"/>
      <c r="AG12" s="1" t="s">
        <v>238</v>
      </c>
      <c r="AN12" t="s">
        <v>241</v>
      </c>
      <c r="AQ12" s="218" t="s">
        <v>40</v>
      </c>
      <c r="AR12" s="218"/>
      <c r="AS12" t="s">
        <v>2</v>
      </c>
      <c r="AT12" t="s">
        <v>252</v>
      </c>
      <c r="AU12" s="2" t="s">
        <v>256</v>
      </c>
      <c r="AV12" t="s">
        <v>253</v>
      </c>
      <c r="AW12" s="2" t="s">
        <v>236</v>
      </c>
      <c r="AX12" t="s">
        <v>254</v>
      </c>
      <c r="AY12" s="58">
        <v>2</v>
      </c>
      <c r="AZ12" t="s">
        <v>255</v>
      </c>
      <c r="BA12" t="s">
        <v>252</v>
      </c>
      <c r="BB12" s="216">
        <f>BO9</f>
        <v>0.4</v>
      </c>
      <c r="BC12" s="141"/>
      <c r="BD12" s="62" t="s">
        <v>253</v>
      </c>
      <c r="BE12" s="216">
        <f>BO7</f>
        <v>0.83499999999999996</v>
      </c>
      <c r="BF12" s="216"/>
      <c r="BG12" s="33" t="s">
        <v>254</v>
      </c>
      <c r="BH12" s="1">
        <v>2</v>
      </c>
      <c r="BL12" t="s">
        <v>255</v>
      </c>
      <c r="BM12" s="216">
        <f>(BB12+BE12)/2</f>
        <v>0.61749999999999994</v>
      </c>
      <c r="BN12" s="216"/>
      <c r="BO12" s="216"/>
      <c r="BP12" s="1" t="s">
        <v>91</v>
      </c>
      <c r="BW12" s="5"/>
      <c r="BZ12" s="6"/>
      <c r="CA12" s="229" t="s">
        <v>267</v>
      </c>
      <c r="CB12" s="229"/>
      <c r="CC12" s="229"/>
      <c r="CD12" s="229"/>
      <c r="CE12" s="229"/>
      <c r="CF12" s="229"/>
      <c r="CG12" s="226">
        <f>BM25</f>
        <v>1.1675</v>
      </c>
      <c r="CH12" s="227"/>
      <c r="CI12" s="227"/>
      <c r="CJ12" s="226">
        <f>BM26</f>
        <v>6.0950000000000024</v>
      </c>
      <c r="CK12" s="227"/>
      <c r="CL12" s="227"/>
      <c r="CM12" s="226">
        <f t="shared" ref="CM12" si="1">CG12*CJ12</f>
        <v>7.115912500000003</v>
      </c>
      <c r="CN12" s="227"/>
      <c r="CO12" s="227"/>
    </row>
    <row r="13" spans="1:93">
      <c r="E13" t="s">
        <v>241</v>
      </c>
      <c r="H13" s="218" t="s">
        <v>40</v>
      </c>
      <c r="I13" s="218"/>
      <c r="J13" t="s">
        <v>2</v>
      </c>
      <c r="K13" s="2" t="s">
        <v>234</v>
      </c>
      <c r="L13" s="60" t="s">
        <v>245</v>
      </c>
      <c r="M13" s="2" t="s">
        <v>37</v>
      </c>
      <c r="N13" t="s">
        <v>246</v>
      </c>
      <c r="O13" s="2" t="s">
        <v>247</v>
      </c>
      <c r="P13" s="61" t="s">
        <v>244</v>
      </c>
      <c r="Q13" t="s">
        <v>2</v>
      </c>
      <c r="R13" s="216">
        <f>AF10</f>
        <v>0.19999999999999996</v>
      </c>
      <c r="S13" s="216"/>
      <c r="T13" s="61" t="s">
        <v>245</v>
      </c>
      <c r="U13" s="216">
        <f>AF9</f>
        <v>0.12</v>
      </c>
      <c r="V13" s="141"/>
      <c r="W13" s="1" t="s">
        <v>246</v>
      </c>
      <c r="X13" s="216">
        <f>AF5</f>
        <v>1.1000000000000001</v>
      </c>
      <c r="Y13" s="141"/>
      <c r="Z13" s="61" t="s">
        <v>249</v>
      </c>
      <c r="AA13" s="58">
        <v>2</v>
      </c>
      <c r="AC13" t="s">
        <v>2</v>
      </c>
      <c r="AD13" s="216">
        <f>R13+(U13+X13)/2</f>
        <v>0.81</v>
      </c>
      <c r="AE13" s="216"/>
      <c r="AF13" s="216"/>
      <c r="AG13" s="1" t="s">
        <v>91</v>
      </c>
      <c r="AN13" t="s">
        <v>242</v>
      </c>
      <c r="AQ13" s="218" t="s">
        <v>271</v>
      </c>
      <c r="AR13" s="218"/>
      <c r="AS13" t="s">
        <v>2</v>
      </c>
      <c r="AT13" s="218" t="s">
        <v>39</v>
      </c>
      <c r="AU13" s="218"/>
      <c r="AV13" s="218"/>
      <c r="AW13" s="12" t="s">
        <v>43</v>
      </c>
      <c r="AX13" s="219" t="s">
        <v>84</v>
      </c>
      <c r="AY13" s="219"/>
      <c r="BA13" t="s">
        <v>2</v>
      </c>
      <c r="BB13" s="216">
        <f>BM11</f>
        <v>0.83499999999999996</v>
      </c>
      <c r="BC13" s="216"/>
      <c r="BD13" s="216"/>
      <c r="BE13" t="s">
        <v>43</v>
      </c>
      <c r="BF13" s="217">
        <f>'1.設計条件'!T17</f>
        <v>23</v>
      </c>
      <c r="BG13" s="141"/>
      <c r="BL13" t="s">
        <v>2</v>
      </c>
      <c r="BM13" s="216">
        <f>BB13*BF13</f>
        <v>19.204999999999998</v>
      </c>
      <c r="BN13" s="216"/>
      <c r="BO13" s="216"/>
      <c r="BP13" s="1" t="s">
        <v>44</v>
      </c>
      <c r="BW13" s="7"/>
      <c r="BX13" s="10"/>
      <c r="BY13" s="10"/>
      <c r="BZ13" s="8"/>
      <c r="CA13" s="230" t="s">
        <v>268</v>
      </c>
      <c r="CB13" s="230"/>
      <c r="CC13" s="230"/>
      <c r="CD13" s="230"/>
      <c r="CE13" s="230"/>
      <c r="CF13" s="230"/>
      <c r="CG13" s="233"/>
      <c r="CH13" s="233"/>
      <c r="CI13" s="233"/>
      <c r="CJ13" s="232">
        <f>SUM(CJ11:CL12)</f>
        <v>25.3</v>
      </c>
      <c r="CK13" s="233"/>
      <c r="CL13" s="233"/>
      <c r="CM13" s="232">
        <f>SUM(CM11:CO12)</f>
        <v>18.975000000000001</v>
      </c>
      <c r="CN13" s="233"/>
      <c r="CO13" s="233"/>
    </row>
    <row r="14" spans="1:93">
      <c r="E14" t="s">
        <v>242</v>
      </c>
      <c r="H14" s="218" t="s">
        <v>271</v>
      </c>
      <c r="I14" s="218"/>
      <c r="J14" t="s">
        <v>2</v>
      </c>
      <c r="K14" s="218" t="s">
        <v>39</v>
      </c>
      <c r="L14" s="218"/>
      <c r="M14" s="218"/>
      <c r="N14" s="12" t="s">
        <v>43</v>
      </c>
      <c r="O14" s="219" t="s">
        <v>84</v>
      </c>
      <c r="P14" s="219"/>
      <c r="R14" t="s">
        <v>2</v>
      </c>
      <c r="S14" s="216">
        <f>AD12</f>
        <v>0.33</v>
      </c>
      <c r="T14" s="216"/>
      <c r="U14" s="216"/>
      <c r="V14" t="s">
        <v>43</v>
      </c>
      <c r="W14" s="217">
        <f>'1.設計条件'!T17</f>
        <v>23</v>
      </c>
      <c r="X14" s="141"/>
      <c r="AC14" t="s">
        <v>2</v>
      </c>
      <c r="AD14" s="216">
        <f>S14*W14</f>
        <v>7.5900000000000007</v>
      </c>
      <c r="AE14" s="216"/>
      <c r="AF14" s="216"/>
      <c r="AG14" s="1" t="s">
        <v>44</v>
      </c>
      <c r="BW14" s="237" t="s">
        <v>264</v>
      </c>
      <c r="BX14" s="238"/>
      <c r="BY14" s="238"/>
      <c r="BZ14" s="239"/>
      <c r="CA14" s="231" t="s">
        <v>269</v>
      </c>
      <c r="CB14" s="231"/>
      <c r="CC14" s="231"/>
      <c r="CD14" s="231"/>
      <c r="CE14" s="231"/>
      <c r="CF14" s="231"/>
      <c r="CG14" s="243">
        <f>BM37</f>
        <v>0.65</v>
      </c>
      <c r="CH14" s="244"/>
      <c r="CI14" s="244"/>
      <c r="CJ14" s="243">
        <f>BM38</f>
        <v>8.9700000000000006</v>
      </c>
      <c r="CK14" s="244"/>
      <c r="CL14" s="244"/>
      <c r="CM14" s="226">
        <f t="shared" ref="CM14" si="2">CG14*CJ14</f>
        <v>5.8305000000000007</v>
      </c>
      <c r="CN14" s="227"/>
      <c r="CO14" s="227"/>
    </row>
    <row r="15" spans="1:93">
      <c r="AL15" t="s">
        <v>413</v>
      </c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21"/>
      <c r="CH15" s="12"/>
      <c r="CI15" s="12"/>
      <c r="CJ15" s="21"/>
      <c r="CK15" s="12"/>
      <c r="CL15" s="12"/>
      <c r="CM15" s="21"/>
      <c r="CN15" s="12"/>
      <c r="CO15" s="12"/>
    </row>
    <row r="16" spans="1:93">
      <c r="C16" t="s">
        <v>443</v>
      </c>
      <c r="AM16" s="2"/>
      <c r="AN16" s="34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64"/>
      <c r="BF16" s="35"/>
      <c r="BG16" s="35"/>
      <c r="BH16" s="35"/>
      <c r="BI16" s="35"/>
      <c r="BJ16" s="35"/>
      <c r="BK16" s="35"/>
      <c r="BL16" s="36"/>
      <c r="BM16" s="35"/>
      <c r="BN16" s="35"/>
      <c r="BO16" s="35"/>
      <c r="BP16" s="35"/>
      <c r="BQ16" s="35"/>
      <c r="BR16" s="37"/>
      <c r="BV16" s="68" t="s">
        <v>289</v>
      </c>
      <c r="BX16" s="68"/>
      <c r="BY16" s="68"/>
      <c r="BZ16" s="68"/>
      <c r="CA16" s="68"/>
      <c r="CB16" s="68"/>
      <c r="CC16" s="68"/>
      <c r="CD16" s="68"/>
      <c r="CE16" s="68"/>
      <c r="CF16" s="68"/>
      <c r="CG16" s="21"/>
      <c r="CH16" s="12"/>
      <c r="CI16" s="12"/>
      <c r="CJ16" s="21"/>
      <c r="CK16" s="12"/>
      <c r="CL16" s="12"/>
      <c r="CM16" s="21"/>
      <c r="CN16" s="12"/>
      <c r="CO16" s="12"/>
    </row>
    <row r="17" spans="3:94">
      <c r="D17" s="6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64"/>
      <c r="W17" s="35"/>
      <c r="X17" s="35"/>
      <c r="Y17" s="35"/>
      <c r="Z17" s="35"/>
      <c r="AA17" s="35"/>
      <c r="AB17" s="35"/>
      <c r="AC17" s="36"/>
      <c r="AD17" s="35"/>
      <c r="AE17" s="35"/>
      <c r="AF17" s="143"/>
      <c r="AG17" s="143"/>
      <c r="AH17" s="143"/>
      <c r="AI17" s="37"/>
      <c r="AJ17" s="1"/>
      <c r="AN17" s="5"/>
      <c r="BL17" s="2"/>
      <c r="BM17" s="2"/>
      <c r="BO17" s="216"/>
      <c r="BP17" s="216"/>
      <c r="BQ17" s="216"/>
      <c r="BR17" s="38"/>
      <c r="BS17" s="1"/>
      <c r="BW17" s="68" t="s">
        <v>290</v>
      </c>
      <c r="BX17" s="68"/>
      <c r="BY17" s="68"/>
      <c r="CB17" s="218" t="s">
        <v>40</v>
      </c>
      <c r="CC17" s="218"/>
      <c r="CD17" t="s">
        <v>2</v>
      </c>
      <c r="CE17" s="216">
        <f>CM10</f>
        <v>14.370399999999998</v>
      </c>
      <c r="CF17" s="141"/>
      <c r="CG17" s="141"/>
      <c r="CH17" s="68" t="s">
        <v>291</v>
      </c>
      <c r="CI17" s="216">
        <f>CJ10</f>
        <v>20.239999999999995</v>
      </c>
      <c r="CJ17" s="216"/>
      <c r="CK17" s="216"/>
      <c r="CL17" s="21"/>
      <c r="CM17" s="12" t="s">
        <v>292</v>
      </c>
      <c r="CN17" s="216">
        <f>CE17/CI17</f>
        <v>0.71000000000000008</v>
      </c>
      <c r="CO17" s="216"/>
      <c r="CP17" s="216"/>
    </row>
    <row r="18" spans="3:94">
      <c r="D18" s="6"/>
      <c r="AC18" s="2"/>
      <c r="AD18" s="2"/>
      <c r="AF18" s="216"/>
      <c r="AG18" s="216"/>
      <c r="AH18" s="216"/>
      <c r="AI18" s="38"/>
      <c r="AJ18" s="1"/>
      <c r="AN18" s="5"/>
      <c r="BL18" s="2" t="s">
        <v>251</v>
      </c>
      <c r="BM18" s="2"/>
      <c r="BN18" t="s">
        <v>2</v>
      </c>
      <c r="BO18" s="216">
        <f>'1.設計条件'!BG5</f>
        <v>1</v>
      </c>
      <c r="BP18" s="216"/>
      <c r="BQ18" s="216"/>
      <c r="BR18" s="38" t="s">
        <v>3</v>
      </c>
      <c r="BS18" s="1"/>
      <c r="BW18" s="68" t="s">
        <v>293</v>
      </c>
      <c r="BX18" s="68"/>
      <c r="BY18" s="68"/>
      <c r="CB18" s="218" t="s">
        <v>40</v>
      </c>
      <c r="CC18" s="218"/>
      <c r="CD18" t="s">
        <v>2</v>
      </c>
      <c r="CE18" s="216">
        <f>CM13</f>
        <v>18.975000000000001</v>
      </c>
      <c r="CF18" s="141"/>
      <c r="CG18" s="141"/>
      <c r="CH18" s="68" t="s">
        <v>291</v>
      </c>
      <c r="CI18" s="216">
        <f>CJ13</f>
        <v>25.3</v>
      </c>
      <c r="CJ18" s="216"/>
      <c r="CK18" s="216"/>
      <c r="CL18" s="21"/>
      <c r="CM18" s="12" t="s">
        <v>292</v>
      </c>
      <c r="CN18" s="216">
        <f>CE18/CI18</f>
        <v>0.75</v>
      </c>
      <c r="CO18" s="216"/>
      <c r="CP18" s="216"/>
    </row>
    <row r="19" spans="3:94">
      <c r="D19" s="6"/>
      <c r="AC19" s="2" t="s">
        <v>235</v>
      </c>
      <c r="AD19" s="2"/>
      <c r="AE19" t="s">
        <v>2</v>
      </c>
      <c r="AF19" s="216">
        <f>AF7</f>
        <v>0.49999999999999983</v>
      </c>
      <c r="AG19" s="216"/>
      <c r="AH19" s="216"/>
      <c r="AI19" s="38" t="s">
        <v>3</v>
      </c>
      <c r="AJ19" s="1"/>
      <c r="AN19" s="5"/>
      <c r="BJ19" s="1">
        <v>1</v>
      </c>
      <c r="BK19" t="s">
        <v>6</v>
      </c>
      <c r="BL19" s="2" t="s">
        <v>233</v>
      </c>
      <c r="BM19" s="2"/>
      <c r="BO19" s="220">
        <f>AF20</f>
        <v>0.4</v>
      </c>
      <c r="BP19" s="220"/>
      <c r="BQ19" s="220"/>
      <c r="BR19" s="6"/>
      <c r="BS19" s="1"/>
      <c r="BW19" s="68" t="s">
        <v>294</v>
      </c>
      <c r="BX19" s="68"/>
      <c r="BY19" s="68"/>
      <c r="CB19" s="218" t="s">
        <v>40</v>
      </c>
      <c r="CC19" s="218"/>
      <c r="CD19" t="s">
        <v>2</v>
      </c>
      <c r="CE19" s="216">
        <f>CM14</f>
        <v>5.8305000000000007</v>
      </c>
      <c r="CF19" s="141"/>
      <c r="CG19" s="141"/>
      <c r="CH19" s="68" t="s">
        <v>291</v>
      </c>
      <c r="CI19" s="216">
        <f>CJ14</f>
        <v>8.9700000000000006</v>
      </c>
      <c r="CJ19" s="216"/>
      <c r="CK19" s="216"/>
      <c r="CL19" s="21"/>
      <c r="CM19" s="12" t="s">
        <v>292</v>
      </c>
      <c r="CN19" s="216">
        <f>CE19/CI19</f>
        <v>0.65</v>
      </c>
      <c r="CO19" s="216"/>
      <c r="CP19" s="216"/>
    </row>
    <row r="20" spans="3:94">
      <c r="D20" s="6"/>
      <c r="AA20" s="1">
        <v>1</v>
      </c>
      <c r="AB20" t="s">
        <v>6</v>
      </c>
      <c r="AC20" s="2" t="s">
        <v>233</v>
      </c>
      <c r="AD20" s="2"/>
      <c r="AF20" s="220">
        <f>AF8</f>
        <v>0.4</v>
      </c>
      <c r="AG20" s="220"/>
      <c r="AH20" s="220"/>
      <c r="AI20" s="6"/>
      <c r="AN20" s="5"/>
      <c r="BL20" s="2" t="s">
        <v>236</v>
      </c>
      <c r="BN20" t="s">
        <v>2</v>
      </c>
      <c r="BO20" s="216">
        <f>BO7</f>
        <v>0.83499999999999996</v>
      </c>
      <c r="BP20" s="216"/>
      <c r="BQ20" s="216"/>
      <c r="BR20" s="38" t="s">
        <v>3</v>
      </c>
      <c r="BW20" s="68"/>
      <c r="BX20" s="68"/>
      <c r="BY20" s="68"/>
      <c r="BZ20" s="68"/>
    </row>
    <row r="21" spans="3:94">
      <c r="D21" s="6"/>
      <c r="AC21" s="2" t="s">
        <v>234</v>
      </c>
      <c r="AE21" t="s">
        <v>2</v>
      </c>
      <c r="AF21" s="216">
        <f>AF20*AF19</f>
        <v>0.19999999999999996</v>
      </c>
      <c r="AG21" s="216"/>
      <c r="AH21" s="216"/>
      <c r="AI21" s="38" t="s">
        <v>3</v>
      </c>
      <c r="AJ21" s="1"/>
      <c r="AN21" s="5"/>
      <c r="BL21" s="2" t="s">
        <v>243</v>
      </c>
      <c r="BN21" t="s">
        <v>2</v>
      </c>
      <c r="BO21" s="216">
        <f>AF34</f>
        <v>0.26500000000000012</v>
      </c>
      <c r="BP21" s="216"/>
      <c r="BQ21" s="216"/>
      <c r="BR21" s="38" t="s">
        <v>3</v>
      </c>
      <c r="BS21" s="1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21"/>
      <c r="CH21" s="12"/>
      <c r="CI21" s="12"/>
      <c r="CJ21" s="21"/>
      <c r="CK21" s="12"/>
      <c r="CL21" s="12"/>
      <c r="CM21" s="21"/>
      <c r="CN21" s="12"/>
      <c r="CO21" s="12"/>
    </row>
    <row r="22" spans="3:94">
      <c r="D22" s="6"/>
      <c r="AC22" s="2" t="s">
        <v>236</v>
      </c>
      <c r="AE22" t="s">
        <v>2</v>
      </c>
      <c r="AF22" s="216">
        <f>'1.設計条件'!BG2</f>
        <v>0.83499999999999996</v>
      </c>
      <c r="AG22" s="216"/>
      <c r="AH22" s="216"/>
      <c r="AI22" s="38" t="s">
        <v>3</v>
      </c>
      <c r="AJ22" s="1"/>
      <c r="AN22" s="5"/>
      <c r="BL22" s="2" t="s">
        <v>256</v>
      </c>
      <c r="BN22" t="s">
        <v>2</v>
      </c>
      <c r="BO22" s="216">
        <f>BO9</f>
        <v>0.4</v>
      </c>
      <c r="BP22" s="216"/>
      <c r="BQ22" s="216"/>
      <c r="BR22" s="38" t="s">
        <v>3</v>
      </c>
      <c r="BS22" s="1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21"/>
      <c r="CH22" s="12"/>
      <c r="CI22" s="12"/>
      <c r="CJ22" s="21"/>
      <c r="CK22" s="12"/>
      <c r="CL22" s="12"/>
      <c r="CM22" s="21"/>
      <c r="CN22" s="12"/>
      <c r="CO22" s="12"/>
    </row>
    <row r="23" spans="3:94">
      <c r="D23" s="6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8"/>
      <c r="AN23" s="7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8"/>
      <c r="BS23" s="1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21"/>
      <c r="CH23" s="12"/>
      <c r="CI23" s="12"/>
      <c r="CJ23" s="21"/>
      <c r="CK23" s="12"/>
      <c r="CL23" s="12"/>
      <c r="CM23" s="21"/>
      <c r="CN23" s="12"/>
      <c r="CO23" s="12"/>
    </row>
    <row r="24" spans="3:94">
      <c r="E24" t="s">
        <v>38</v>
      </c>
      <c r="H24" s="218" t="s">
        <v>39</v>
      </c>
      <c r="I24" s="218"/>
      <c r="J24" t="s">
        <v>2</v>
      </c>
      <c r="K24" s="218" t="s">
        <v>236</v>
      </c>
      <c r="L24" s="218"/>
      <c r="M24" s="12" t="s">
        <v>43</v>
      </c>
      <c r="N24" s="218" t="s">
        <v>235</v>
      </c>
      <c r="O24" s="218"/>
      <c r="Q24" t="s">
        <v>2</v>
      </c>
      <c r="R24" s="216">
        <f>AF22</f>
        <v>0.83499999999999996</v>
      </c>
      <c r="S24" s="141"/>
      <c r="T24" s="141"/>
      <c r="U24" s="12" t="s">
        <v>43</v>
      </c>
      <c r="V24" s="216">
        <f>AF19</f>
        <v>0.49999999999999983</v>
      </c>
      <c r="W24" s="141"/>
      <c r="X24" s="141"/>
      <c r="AC24" t="s">
        <v>2</v>
      </c>
      <c r="AD24" s="216">
        <f>R24*V24</f>
        <v>0.41749999999999982</v>
      </c>
      <c r="AE24" s="141"/>
      <c r="AF24" s="141"/>
      <c r="AG24" s="1" t="s">
        <v>238</v>
      </c>
      <c r="AN24" t="s">
        <v>38</v>
      </c>
      <c r="AQ24" s="218" t="s">
        <v>39</v>
      </c>
      <c r="AR24" s="218"/>
      <c r="AS24" t="s">
        <v>2</v>
      </c>
      <c r="AT24" s="218" t="s">
        <v>243</v>
      </c>
      <c r="AU24" s="218"/>
      <c r="AV24" s="12" t="s">
        <v>43</v>
      </c>
      <c r="AW24" s="218" t="s">
        <v>251</v>
      </c>
      <c r="AX24" s="218"/>
      <c r="AZ24" t="s">
        <v>2</v>
      </c>
      <c r="BA24" s="216">
        <f>BO21</f>
        <v>0.26500000000000012</v>
      </c>
      <c r="BB24" s="141"/>
      <c r="BC24" s="141"/>
      <c r="BD24" s="12" t="s">
        <v>43</v>
      </c>
      <c r="BE24" s="216">
        <f>BO18</f>
        <v>1</v>
      </c>
      <c r="BF24" s="141"/>
      <c r="BG24" s="141"/>
      <c r="BL24" t="s">
        <v>2</v>
      </c>
      <c r="BM24" s="216">
        <f>BA24*BE24</f>
        <v>0.26500000000000012</v>
      </c>
      <c r="BN24" s="141"/>
      <c r="BO24" s="141"/>
      <c r="BP24" s="1" t="s">
        <v>238</v>
      </c>
    </row>
    <row r="25" spans="3:94">
      <c r="E25" t="s">
        <v>241</v>
      </c>
      <c r="H25" s="218" t="s">
        <v>40</v>
      </c>
      <c r="I25" s="218"/>
      <c r="J25" t="s">
        <v>2</v>
      </c>
      <c r="K25" t="s">
        <v>252</v>
      </c>
      <c r="L25" s="2" t="s">
        <v>234</v>
      </c>
      <c r="M25" t="s">
        <v>253</v>
      </c>
      <c r="N25" s="2" t="s">
        <v>236</v>
      </c>
      <c r="O25" t="s">
        <v>254</v>
      </c>
      <c r="P25" s="58">
        <v>2</v>
      </c>
      <c r="Q25" t="s">
        <v>255</v>
      </c>
      <c r="R25" t="s">
        <v>252</v>
      </c>
      <c r="S25" s="216">
        <f>AF21</f>
        <v>0.19999999999999996</v>
      </c>
      <c r="T25" s="216"/>
      <c r="U25" t="s">
        <v>253</v>
      </c>
      <c r="V25" s="216">
        <f>AF22</f>
        <v>0.83499999999999996</v>
      </c>
      <c r="W25" s="216"/>
      <c r="X25" s="33" t="s">
        <v>254</v>
      </c>
      <c r="Y25" s="1">
        <v>2</v>
      </c>
      <c r="AC25" t="s">
        <v>255</v>
      </c>
      <c r="AD25" s="216">
        <f>(S25+V25)/2</f>
        <v>0.51749999999999996</v>
      </c>
      <c r="AE25" s="141"/>
      <c r="AF25" s="141"/>
      <c r="AG25" s="1" t="s">
        <v>91</v>
      </c>
      <c r="AN25" t="s">
        <v>241</v>
      </c>
      <c r="AQ25" s="218" t="s">
        <v>40</v>
      </c>
      <c r="AR25" s="218"/>
      <c r="AS25" t="s">
        <v>2</v>
      </c>
      <c r="AT25" s="2" t="s">
        <v>236</v>
      </c>
      <c r="AU25" s="60" t="s">
        <v>245</v>
      </c>
      <c r="AV25" s="2" t="s">
        <v>243</v>
      </c>
      <c r="AW25" t="s">
        <v>49</v>
      </c>
      <c r="AX25" s="2" t="s">
        <v>256</v>
      </c>
      <c r="AY25" s="1" t="s">
        <v>249</v>
      </c>
      <c r="AZ25" s="58">
        <v>2</v>
      </c>
      <c r="BA25" t="s">
        <v>2</v>
      </c>
      <c r="BB25" s="216">
        <f>BO20</f>
        <v>0.83499999999999996</v>
      </c>
      <c r="BC25" s="216"/>
      <c r="BD25" s="61" t="s">
        <v>245</v>
      </c>
      <c r="BE25" s="216">
        <f>BO21</f>
        <v>0.26500000000000012</v>
      </c>
      <c r="BF25" s="216"/>
      <c r="BG25" t="s">
        <v>49</v>
      </c>
      <c r="BH25" s="216">
        <f>BO22</f>
        <v>0.4</v>
      </c>
      <c r="BI25" s="141"/>
      <c r="BJ25" s="1" t="s">
        <v>249</v>
      </c>
      <c r="BK25" s="58">
        <v>2</v>
      </c>
      <c r="BL25" t="s">
        <v>2</v>
      </c>
      <c r="BM25" s="216">
        <f>BB25+(BE25+BH25)/2</f>
        <v>1.1675</v>
      </c>
      <c r="BN25" s="216"/>
      <c r="BO25" s="216"/>
      <c r="BP25" s="1" t="s">
        <v>91</v>
      </c>
      <c r="BU25" t="s">
        <v>416</v>
      </c>
    </row>
    <row r="26" spans="3:94">
      <c r="E26" t="s">
        <v>242</v>
      </c>
      <c r="H26" s="218" t="s">
        <v>271</v>
      </c>
      <c r="I26" s="218"/>
      <c r="J26" t="s">
        <v>2</v>
      </c>
      <c r="K26" s="218" t="s">
        <v>39</v>
      </c>
      <c r="L26" s="218"/>
      <c r="M26" s="218"/>
      <c r="N26" s="12" t="s">
        <v>43</v>
      </c>
      <c r="O26" s="219" t="s">
        <v>84</v>
      </c>
      <c r="P26" s="219"/>
      <c r="R26" t="s">
        <v>2</v>
      </c>
      <c r="S26" s="216">
        <f>AD24</f>
        <v>0.41749999999999982</v>
      </c>
      <c r="T26" s="216"/>
      <c r="U26" s="216"/>
      <c r="V26" t="s">
        <v>43</v>
      </c>
      <c r="W26" s="217">
        <f>'1.設計条件'!T17</f>
        <v>23</v>
      </c>
      <c r="X26" s="141"/>
      <c r="AC26" t="s">
        <v>2</v>
      </c>
      <c r="AD26" s="216">
        <f>S26*W26</f>
        <v>9.6024999999999956</v>
      </c>
      <c r="AE26" s="216"/>
      <c r="AF26" s="216"/>
      <c r="AG26" s="1" t="s">
        <v>44</v>
      </c>
      <c r="AN26" t="s">
        <v>242</v>
      </c>
      <c r="AQ26" s="218" t="s">
        <v>271</v>
      </c>
      <c r="AR26" s="218"/>
      <c r="AS26" t="s">
        <v>2</v>
      </c>
      <c r="AT26" s="218" t="s">
        <v>39</v>
      </c>
      <c r="AU26" s="218"/>
      <c r="AV26" s="218"/>
      <c r="AW26" s="12" t="s">
        <v>43</v>
      </c>
      <c r="AX26" s="219" t="s">
        <v>84</v>
      </c>
      <c r="AY26" s="219"/>
      <c r="BA26" t="s">
        <v>2</v>
      </c>
      <c r="BB26" s="216">
        <f>BM24</f>
        <v>0.26500000000000012</v>
      </c>
      <c r="BC26" s="216"/>
      <c r="BD26" s="216"/>
      <c r="BE26" t="s">
        <v>43</v>
      </c>
      <c r="BF26" s="217">
        <f>'1.設計条件'!T17</f>
        <v>23</v>
      </c>
      <c r="BG26" s="141"/>
      <c r="BL26" t="s">
        <v>2</v>
      </c>
      <c r="BM26" s="216">
        <f>BB26*BF26</f>
        <v>6.0950000000000024</v>
      </c>
      <c r="BN26" s="216"/>
      <c r="BO26" s="216"/>
      <c r="BP26" s="1" t="s">
        <v>44</v>
      </c>
    </row>
    <row r="27" spans="3:94">
      <c r="S27" s="59"/>
      <c r="Y27" s="59"/>
      <c r="Z27" s="4"/>
      <c r="AA27" s="216"/>
      <c r="AB27" s="216"/>
      <c r="AC27" s="216"/>
      <c r="AD27" s="1"/>
      <c r="BZ27" s="185" t="s">
        <v>276</v>
      </c>
      <c r="CA27" s="186"/>
      <c r="CB27" s="187"/>
      <c r="CC27" s="134" t="s">
        <v>295</v>
      </c>
      <c r="CD27" s="135"/>
      <c r="CE27" s="135"/>
      <c r="CF27" s="135"/>
      <c r="CG27" s="135"/>
      <c r="CH27" s="135"/>
      <c r="CI27" s="135"/>
      <c r="CJ27" s="135"/>
      <c r="CK27" s="136"/>
      <c r="CL27" s="134" t="s">
        <v>296</v>
      </c>
      <c r="CM27" s="135"/>
      <c r="CN27" s="136"/>
    </row>
    <row r="28" spans="3:94">
      <c r="C28" t="s">
        <v>444</v>
      </c>
      <c r="AL28" t="s">
        <v>414</v>
      </c>
      <c r="BZ28" s="224" t="s">
        <v>273</v>
      </c>
      <c r="CA28" s="218"/>
      <c r="CB28" s="225"/>
      <c r="CC28" s="134" t="s">
        <v>298</v>
      </c>
      <c r="CD28" s="135"/>
      <c r="CE28" s="136"/>
      <c r="CF28" s="248" t="s">
        <v>299</v>
      </c>
      <c r="CG28" s="249"/>
      <c r="CH28" s="250"/>
      <c r="CI28" s="134" t="s">
        <v>300</v>
      </c>
      <c r="CJ28" s="135"/>
      <c r="CK28" s="136"/>
      <c r="CL28" s="245" t="s">
        <v>297</v>
      </c>
      <c r="CM28" s="246"/>
      <c r="CN28" s="247"/>
    </row>
    <row r="29" spans="3:94">
      <c r="D29" s="2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64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40"/>
      <c r="AM29" s="2"/>
      <c r="AN29" s="34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64"/>
      <c r="BF29" s="35"/>
      <c r="BG29" s="35"/>
      <c r="BH29" s="35"/>
      <c r="BI29" s="35"/>
      <c r="BJ29" s="35"/>
      <c r="BK29" s="35"/>
      <c r="BL29" s="36"/>
      <c r="BM29" s="35"/>
      <c r="BN29" s="35"/>
      <c r="BO29" s="143"/>
      <c r="BP29" s="143"/>
      <c r="BQ29" s="143"/>
      <c r="BR29" s="37"/>
      <c r="BV29" s="66">
        <v>6</v>
      </c>
      <c r="BW29" s="53">
        <f>IF(('1.設計条件'!BG$6+1)&gt;=BV29, BV29, "")</f>
        <v>6</v>
      </c>
      <c r="BX29" s="240" t="str">
        <f t="shared" ref="BX29:BX34" si="3">IF(BW29&lt;&gt;"","段目","")</f>
        <v>段目</v>
      </c>
      <c r="BY29" s="241"/>
      <c r="BZ29" s="226">
        <f>IF(BW29&lt;&gt;"",$BZ$34+$BO$9*(BV29-1),"")</f>
        <v>2.1</v>
      </c>
      <c r="CA29" s="227"/>
      <c r="CB29" s="227"/>
      <c r="CC29" s="226"/>
      <c r="CD29" s="227"/>
      <c r="CE29" s="227"/>
      <c r="CF29" s="226" t="str">
        <f>IF(('1.設計条件'!BG$6+1)&gt;BV29, CN$18, "")</f>
        <v/>
      </c>
      <c r="CG29" s="227"/>
      <c r="CH29" s="227"/>
      <c r="CI29" s="226">
        <f>IF(('1.設計条件'!BG$6+1)=BV29, CN$17, "")</f>
        <v>0.71000000000000008</v>
      </c>
      <c r="CJ29" s="227"/>
      <c r="CK29" s="227"/>
      <c r="CL29" s="226">
        <f>IF(SUM(BZ29:CK29)=0,"",SUM(BZ29:CK29))</f>
        <v>2.81</v>
      </c>
      <c r="CM29" s="227"/>
      <c r="CN29" s="227"/>
    </row>
    <row r="30" spans="3:94">
      <c r="E30" s="5"/>
      <c r="AC30" s="2" t="s">
        <v>235</v>
      </c>
      <c r="AD30" s="2"/>
      <c r="AE30" t="s">
        <v>2</v>
      </c>
      <c r="AF30" s="216">
        <f>AF7</f>
        <v>0.49999999999999983</v>
      </c>
      <c r="AG30" s="216"/>
      <c r="AH30" s="216"/>
      <c r="AI30" s="38" t="s">
        <v>3</v>
      </c>
      <c r="AJ30" s="1"/>
      <c r="AN30" s="5"/>
      <c r="BL30" s="2"/>
      <c r="BM30" s="2"/>
      <c r="BO30" s="216"/>
      <c r="BP30" s="216"/>
      <c r="BQ30" s="216"/>
      <c r="BR30" s="38"/>
      <c r="BS30" s="1"/>
      <c r="BV30" s="66">
        <v>5</v>
      </c>
      <c r="BW30" s="53">
        <f>IF(('1.設計条件'!BG$6+1)&gt;=BV30, BV30, "")</f>
        <v>5</v>
      </c>
      <c r="BX30" s="240" t="str">
        <f t="shared" si="3"/>
        <v>段目</v>
      </c>
      <c r="BY30" s="241"/>
      <c r="BZ30" s="226">
        <f>IF(BW30&lt;&gt;"",$BZ$34+$BO$9*(BV30-1),"")</f>
        <v>1.7000000000000002</v>
      </c>
      <c r="CA30" s="227"/>
      <c r="CB30" s="227"/>
      <c r="CC30" s="226"/>
      <c r="CD30" s="227"/>
      <c r="CE30" s="227"/>
      <c r="CF30" s="226">
        <f>IF(('1.設計条件'!BG$6+1)&gt;BV30, CN$18, "")</f>
        <v>0.75</v>
      </c>
      <c r="CG30" s="227"/>
      <c r="CH30" s="227"/>
      <c r="CI30" s="226" t="str">
        <f>IF(('1.設計条件'!BG$6+1)=BV30, CN$17, "")</f>
        <v/>
      </c>
      <c r="CJ30" s="227"/>
      <c r="CK30" s="227"/>
      <c r="CL30" s="226">
        <f t="shared" ref="CL30:CL35" si="4">IF(SUM(BZ30:CK30)=0,"",SUM(BZ30:CK30))</f>
        <v>2.4500000000000002</v>
      </c>
      <c r="CM30" s="227"/>
      <c r="CN30" s="227"/>
    </row>
    <row r="31" spans="3:94">
      <c r="E31" s="5"/>
      <c r="AA31" s="1">
        <v>1</v>
      </c>
      <c r="AB31" t="s">
        <v>6</v>
      </c>
      <c r="AC31" s="2" t="s">
        <v>233</v>
      </c>
      <c r="AD31" s="2"/>
      <c r="AF31" s="220">
        <f>AF8</f>
        <v>0.4</v>
      </c>
      <c r="AG31" s="220"/>
      <c r="AH31" s="220"/>
      <c r="AI31" s="38"/>
      <c r="AJ31" s="1"/>
      <c r="AN31" s="5"/>
      <c r="BL31" s="2" t="s">
        <v>230</v>
      </c>
      <c r="BM31" s="2"/>
      <c r="BN31" t="s">
        <v>2</v>
      </c>
      <c r="BO31" s="216">
        <f>'1.設計条件'!T10</f>
        <v>0.3</v>
      </c>
      <c r="BP31" s="216"/>
      <c r="BQ31" s="216"/>
      <c r="BR31" s="38" t="s">
        <v>3</v>
      </c>
      <c r="BS31" s="1"/>
      <c r="BV31" s="66">
        <v>4</v>
      </c>
      <c r="BW31" s="53">
        <f>IF(('1.設計条件'!BG$6+1)&gt;=BV31, BV31, "")</f>
        <v>4</v>
      </c>
      <c r="BX31" s="240" t="str">
        <f t="shared" si="3"/>
        <v>段目</v>
      </c>
      <c r="BY31" s="241"/>
      <c r="BZ31" s="226">
        <f>IF(BW31&lt;&gt;"",$BZ$34+$BO$9*(BV31-1),"")</f>
        <v>1.3000000000000003</v>
      </c>
      <c r="CA31" s="227"/>
      <c r="CB31" s="227"/>
      <c r="CC31" s="226"/>
      <c r="CD31" s="227"/>
      <c r="CE31" s="227"/>
      <c r="CF31" s="226">
        <f>IF(('1.設計条件'!BG$6+1)&gt;BV31, CN$18, "")</f>
        <v>0.75</v>
      </c>
      <c r="CG31" s="227"/>
      <c r="CH31" s="227"/>
      <c r="CI31" s="226" t="str">
        <f>IF(('1.設計条件'!BG$6+1)=BV31, CN$17, "")</f>
        <v/>
      </c>
      <c r="CJ31" s="227"/>
      <c r="CK31" s="227"/>
      <c r="CL31" s="226">
        <f t="shared" si="4"/>
        <v>2.0500000000000003</v>
      </c>
      <c r="CM31" s="227"/>
      <c r="CN31" s="227"/>
    </row>
    <row r="32" spans="3:94">
      <c r="E32" s="5"/>
      <c r="AC32" s="2" t="s">
        <v>234</v>
      </c>
      <c r="AE32" t="s">
        <v>2</v>
      </c>
      <c r="AF32" s="216">
        <f>AF31*AF30</f>
        <v>0.19999999999999996</v>
      </c>
      <c r="AG32" s="216"/>
      <c r="AH32" s="216"/>
      <c r="AI32" s="38" t="s">
        <v>3</v>
      </c>
      <c r="AJ32" s="1"/>
      <c r="AN32" s="5"/>
      <c r="BJ32" s="1"/>
      <c r="BL32" s="2" t="s">
        <v>35</v>
      </c>
      <c r="BN32" t="s">
        <v>2</v>
      </c>
      <c r="BO32" s="216">
        <f>'1.設計条件'!T9</f>
        <v>1.3</v>
      </c>
      <c r="BP32" s="216"/>
      <c r="BQ32" s="216"/>
      <c r="BR32" s="38" t="s">
        <v>3</v>
      </c>
      <c r="BS32" s="1"/>
      <c r="BV32" s="66">
        <v>3</v>
      </c>
      <c r="BW32" s="53">
        <f>IF(('1.設計条件'!BG$6+1)&gt;=BV32, BV32, "")</f>
        <v>3</v>
      </c>
      <c r="BX32" s="240" t="str">
        <f t="shared" si="3"/>
        <v>段目</v>
      </c>
      <c r="BY32" s="241"/>
      <c r="BZ32" s="226">
        <f>IF(BW32&lt;&gt;"",$BZ$34+$BO$9*(BV32-1),"")</f>
        <v>0.9</v>
      </c>
      <c r="CA32" s="227"/>
      <c r="CB32" s="227"/>
      <c r="CC32" s="226"/>
      <c r="CD32" s="227"/>
      <c r="CE32" s="227"/>
      <c r="CF32" s="226">
        <f>IF(('1.設計条件'!BG$6+1)&gt;BV32, CN$18, "")</f>
        <v>0.75</v>
      </c>
      <c r="CG32" s="227"/>
      <c r="CH32" s="227"/>
      <c r="CI32" s="226" t="str">
        <f>IF(('1.設計条件'!BG$6+1)=BV32, CN$17, "")</f>
        <v/>
      </c>
      <c r="CJ32" s="227"/>
      <c r="CK32" s="227"/>
      <c r="CL32" s="226">
        <f t="shared" si="4"/>
        <v>1.65</v>
      </c>
      <c r="CM32" s="227"/>
      <c r="CN32" s="227"/>
    </row>
    <row r="33" spans="5:105">
      <c r="E33" s="5"/>
      <c r="AC33" s="2" t="s">
        <v>236</v>
      </c>
      <c r="AE33" t="s">
        <v>2</v>
      </c>
      <c r="AF33" s="216">
        <f>AF22</f>
        <v>0.83499999999999996</v>
      </c>
      <c r="AG33" s="216"/>
      <c r="AH33" s="216"/>
      <c r="AI33" s="38" t="s">
        <v>3</v>
      </c>
      <c r="AJ33" s="1"/>
      <c r="AN33" s="5"/>
      <c r="BR33" s="6"/>
      <c r="BS33" s="1"/>
      <c r="BV33" s="66">
        <v>2</v>
      </c>
      <c r="BW33" s="53">
        <f>IF(('1.設計条件'!BG$6+1)&gt;=BV33, BV33, "")</f>
        <v>2</v>
      </c>
      <c r="BX33" s="240" t="str">
        <f t="shared" si="3"/>
        <v>段目</v>
      </c>
      <c r="BY33" s="241"/>
      <c r="BZ33" s="226">
        <f>IF(BW33&lt;&gt;"",$BZ$34+$BO$9*(BV33-1),"")</f>
        <v>0.5</v>
      </c>
      <c r="CA33" s="227"/>
      <c r="CB33" s="227"/>
      <c r="CC33" s="226"/>
      <c r="CD33" s="227"/>
      <c r="CE33" s="227"/>
      <c r="CF33" s="226">
        <f>IF(('1.設計条件'!BG$6+1)&gt;BV33, CN$18, "")</f>
        <v>0.75</v>
      </c>
      <c r="CG33" s="227"/>
      <c r="CH33" s="227"/>
      <c r="CI33" s="226" t="str">
        <f>IF(('1.設計条件'!BG$6+1)=BV33, CN$17, "")</f>
        <v/>
      </c>
      <c r="CJ33" s="227"/>
      <c r="CK33" s="227"/>
      <c r="CL33" s="226">
        <f t="shared" si="4"/>
        <v>1.25</v>
      </c>
      <c r="CM33" s="227"/>
      <c r="CN33" s="227"/>
    </row>
    <row r="34" spans="5:105">
      <c r="E34" s="5"/>
      <c r="AC34" s="2" t="s">
        <v>243</v>
      </c>
      <c r="AE34" t="s">
        <v>2</v>
      </c>
      <c r="AF34" s="216">
        <f>'1.設計条件'!BG7</f>
        <v>0.26500000000000012</v>
      </c>
      <c r="AG34" s="216"/>
      <c r="AH34" s="216"/>
      <c r="AI34" s="38" t="s">
        <v>3</v>
      </c>
      <c r="AJ34" s="1"/>
      <c r="AN34" s="5"/>
      <c r="BR34" s="38"/>
      <c r="BV34" s="66">
        <v>1</v>
      </c>
      <c r="BW34" s="53">
        <f>IF(('1.設計条件'!BG$6+1)&gt;=BV34, BV34, "")</f>
        <v>1</v>
      </c>
      <c r="BX34" s="240" t="str">
        <f t="shared" si="3"/>
        <v>段目</v>
      </c>
      <c r="BY34" s="241"/>
      <c r="BZ34" s="226">
        <f>BZ35+'1.設計条件'!T11</f>
        <v>0.1</v>
      </c>
      <c r="CA34" s="227"/>
      <c r="CB34" s="227"/>
      <c r="CC34" s="226"/>
      <c r="CD34" s="227"/>
      <c r="CE34" s="227"/>
      <c r="CF34" s="226">
        <f>IF(('1.設計条件'!BG$6+1)&gt;BV34, CN$18, "")</f>
        <v>0.75</v>
      </c>
      <c r="CG34" s="227"/>
      <c r="CH34" s="227"/>
      <c r="CI34" s="226" t="str">
        <f>IF(('1.設計条件'!BG$6+1)=BV34, CN$17, "")</f>
        <v/>
      </c>
      <c r="CJ34" s="227"/>
      <c r="CK34" s="227"/>
      <c r="CL34" s="226">
        <f t="shared" si="4"/>
        <v>0.85</v>
      </c>
      <c r="CM34" s="227"/>
      <c r="CN34" s="227"/>
    </row>
    <row r="35" spans="5:105">
      <c r="E35" s="7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8"/>
      <c r="AN35" s="7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39"/>
      <c r="BS35" s="1"/>
      <c r="BV35" s="66">
        <v>0</v>
      </c>
      <c r="BW35" s="242" t="s">
        <v>275</v>
      </c>
      <c r="BX35" s="242"/>
      <c r="BY35" s="242"/>
      <c r="BZ35" s="226">
        <v>0</v>
      </c>
      <c r="CA35" s="227"/>
      <c r="CB35" s="227"/>
      <c r="CC35" s="226">
        <f>CN19</f>
        <v>0.65</v>
      </c>
      <c r="CD35" s="227"/>
      <c r="CE35" s="227"/>
      <c r="CF35" s="226"/>
      <c r="CG35" s="227"/>
      <c r="CH35" s="227"/>
      <c r="CI35" s="226"/>
      <c r="CJ35" s="227"/>
      <c r="CK35" s="227"/>
      <c r="CL35" s="226">
        <f t="shared" si="4"/>
        <v>0.65</v>
      </c>
      <c r="CM35" s="227"/>
      <c r="CN35" s="227"/>
    </row>
    <row r="36" spans="5:105">
      <c r="E36" t="s">
        <v>38</v>
      </c>
      <c r="H36" s="218" t="s">
        <v>39</v>
      </c>
      <c r="I36" s="218"/>
      <c r="J36" t="s">
        <v>2</v>
      </c>
      <c r="K36" s="218" t="s">
        <v>248</v>
      </c>
      <c r="L36" s="218"/>
      <c r="M36" s="12" t="s">
        <v>43</v>
      </c>
      <c r="N36" s="218" t="s">
        <v>235</v>
      </c>
      <c r="O36" s="218"/>
      <c r="Q36" t="s">
        <v>2</v>
      </c>
      <c r="R36" s="216">
        <f>AF34</f>
        <v>0.26500000000000012</v>
      </c>
      <c r="S36" s="141"/>
      <c r="T36" s="141"/>
      <c r="U36" s="12" t="s">
        <v>43</v>
      </c>
      <c r="V36" s="216">
        <f>AF30</f>
        <v>0.49999999999999983</v>
      </c>
      <c r="W36" s="141"/>
      <c r="X36" s="141"/>
      <c r="AC36" t="s">
        <v>2</v>
      </c>
      <c r="AD36" s="216">
        <f>R36*V36</f>
        <v>0.13250000000000001</v>
      </c>
      <c r="AE36" s="141"/>
      <c r="AF36" s="141"/>
      <c r="AG36" s="1" t="s">
        <v>238</v>
      </c>
      <c r="AN36" t="s">
        <v>38</v>
      </c>
      <c r="AQ36" s="218" t="s">
        <v>39</v>
      </c>
      <c r="AR36" s="218"/>
      <c r="AS36" t="s">
        <v>2</v>
      </c>
      <c r="AT36" s="218" t="s">
        <v>35</v>
      </c>
      <c r="AU36" s="218"/>
      <c r="AV36" s="12" t="s">
        <v>43</v>
      </c>
      <c r="AW36" s="218" t="s">
        <v>230</v>
      </c>
      <c r="AX36" s="218"/>
      <c r="AZ36" t="s">
        <v>2</v>
      </c>
      <c r="BA36" s="216">
        <f>BO32</f>
        <v>1.3</v>
      </c>
      <c r="BB36" s="141"/>
      <c r="BC36" s="141"/>
      <c r="BD36" s="12" t="s">
        <v>43</v>
      </c>
      <c r="BE36" s="216">
        <f>BO31</f>
        <v>0.3</v>
      </c>
      <c r="BF36" s="141"/>
      <c r="BG36" s="141"/>
      <c r="BL36" t="s">
        <v>2</v>
      </c>
      <c r="BM36" s="216">
        <f>BA36*BE36</f>
        <v>0.39</v>
      </c>
      <c r="BN36" s="141"/>
      <c r="BO36" s="141"/>
      <c r="BP36" s="1" t="s">
        <v>238</v>
      </c>
      <c r="BS36" s="1"/>
    </row>
    <row r="37" spans="5:105">
      <c r="E37" t="s">
        <v>241</v>
      </c>
      <c r="H37" s="218" t="s">
        <v>40</v>
      </c>
      <c r="I37" s="218"/>
      <c r="J37" t="s">
        <v>2</v>
      </c>
      <c r="K37" s="2" t="s">
        <v>236</v>
      </c>
      <c r="L37" s="60" t="s">
        <v>245</v>
      </c>
      <c r="M37" s="2" t="s">
        <v>243</v>
      </c>
      <c r="N37" t="s">
        <v>246</v>
      </c>
      <c r="O37" s="2" t="s">
        <v>234</v>
      </c>
      <c r="P37" s="1" t="s">
        <v>249</v>
      </c>
      <c r="Q37" s="58">
        <v>2</v>
      </c>
      <c r="R37" t="s">
        <v>250</v>
      </c>
      <c r="S37" s="216">
        <f>AF33</f>
        <v>0.83499999999999996</v>
      </c>
      <c r="T37" s="216"/>
      <c r="U37" s="61" t="s">
        <v>245</v>
      </c>
      <c r="V37" s="216">
        <f>AF34</f>
        <v>0.26500000000000012</v>
      </c>
      <c r="W37" s="216"/>
      <c r="X37" t="s">
        <v>246</v>
      </c>
      <c r="Y37" s="216">
        <f>AF32</f>
        <v>0.19999999999999996</v>
      </c>
      <c r="Z37" s="141"/>
      <c r="AA37" s="1" t="s">
        <v>249</v>
      </c>
      <c r="AB37" s="58">
        <v>2</v>
      </c>
      <c r="AC37" t="s">
        <v>250</v>
      </c>
      <c r="AD37" s="216">
        <f>S37+(V37+Y37)/2</f>
        <v>1.0674999999999999</v>
      </c>
      <c r="AE37" s="216"/>
      <c r="AF37" s="216"/>
      <c r="AG37" s="1" t="s">
        <v>91</v>
      </c>
      <c r="AN37" t="s">
        <v>241</v>
      </c>
      <c r="AQ37" s="218" t="s">
        <v>40</v>
      </c>
      <c r="AR37" s="218"/>
      <c r="AS37" t="s">
        <v>2</v>
      </c>
      <c r="AT37" s="2" t="s">
        <v>35</v>
      </c>
      <c r="AU37" s="60" t="s">
        <v>260</v>
      </c>
      <c r="AV37" s="58">
        <v>2</v>
      </c>
      <c r="AW37" t="s">
        <v>2</v>
      </c>
      <c r="AX37" s="216">
        <f>BO32</f>
        <v>1.3</v>
      </c>
      <c r="AY37" s="216"/>
      <c r="AZ37" s="60" t="s">
        <v>260</v>
      </c>
      <c r="BA37" s="58">
        <v>2</v>
      </c>
      <c r="BH37" s="33"/>
      <c r="BL37" t="s">
        <v>2</v>
      </c>
      <c r="BM37" s="216">
        <f>AX37/BA37</f>
        <v>0.65</v>
      </c>
      <c r="BN37" s="216"/>
      <c r="BO37" s="216"/>
      <c r="BP37" s="1" t="s">
        <v>91</v>
      </c>
    </row>
    <row r="38" spans="5:105">
      <c r="E38" t="s">
        <v>242</v>
      </c>
      <c r="H38" s="218" t="s">
        <v>271</v>
      </c>
      <c r="I38" s="218"/>
      <c r="J38" t="s">
        <v>2</v>
      </c>
      <c r="K38" s="218" t="s">
        <v>39</v>
      </c>
      <c r="L38" s="218"/>
      <c r="M38" s="218"/>
      <c r="N38" s="12" t="s">
        <v>43</v>
      </c>
      <c r="O38" s="219" t="s">
        <v>84</v>
      </c>
      <c r="P38" s="219"/>
      <c r="R38" t="s">
        <v>2</v>
      </c>
      <c r="S38" s="216">
        <f>AD36</f>
        <v>0.13250000000000001</v>
      </c>
      <c r="T38" s="216"/>
      <c r="U38" s="216"/>
      <c r="V38" t="s">
        <v>43</v>
      </c>
      <c r="W38" s="217">
        <f>'1.設計条件'!T17</f>
        <v>23</v>
      </c>
      <c r="X38" s="141"/>
      <c r="AC38" t="s">
        <v>2</v>
      </c>
      <c r="AD38" s="216">
        <f>S38*W38</f>
        <v>3.0475000000000003</v>
      </c>
      <c r="AE38" s="216"/>
      <c r="AF38" s="216"/>
      <c r="AG38" s="1" t="s">
        <v>44</v>
      </c>
      <c r="AI38">
        <f>'1.設計条件'!BR38+1</f>
        <v>3</v>
      </c>
      <c r="AN38" t="s">
        <v>242</v>
      </c>
      <c r="AQ38" s="218" t="s">
        <v>271</v>
      </c>
      <c r="AR38" s="218"/>
      <c r="AS38" t="s">
        <v>2</v>
      </c>
      <c r="AT38" s="218" t="s">
        <v>39</v>
      </c>
      <c r="AU38" s="218"/>
      <c r="AV38" s="218"/>
      <c r="AW38" s="12" t="s">
        <v>43</v>
      </c>
      <c r="AX38" s="219" t="s">
        <v>84</v>
      </c>
      <c r="AY38" s="219"/>
      <c r="BA38" t="s">
        <v>2</v>
      </c>
      <c r="BB38" s="216">
        <f>BM36</f>
        <v>0.39</v>
      </c>
      <c r="BC38" s="216"/>
      <c r="BD38" s="216"/>
      <c r="BE38" t="s">
        <v>43</v>
      </c>
      <c r="BF38" s="217">
        <f>'1.設計条件'!T17</f>
        <v>23</v>
      </c>
      <c r="BG38" s="141"/>
      <c r="BL38" t="s">
        <v>2</v>
      </c>
      <c r="BM38" s="216">
        <f>BB38*BF38</f>
        <v>8.9700000000000006</v>
      </c>
      <c r="BN38" s="216"/>
      <c r="BO38" s="216"/>
      <c r="BP38" s="1" t="s">
        <v>44</v>
      </c>
      <c r="BR38">
        <f>AI38+1</f>
        <v>4</v>
      </c>
      <c r="DA38">
        <f>BR38+1</f>
        <v>5</v>
      </c>
    </row>
    <row r="39" spans="5:105">
      <c r="N39" s="59"/>
      <c r="X39" s="59"/>
    </row>
  </sheetData>
  <sheetProtection sheet="1" objects="1" scenarios="1"/>
  <mergeCells count="238">
    <mergeCell ref="CC35:CE35"/>
    <mergeCell ref="CF28:CH28"/>
    <mergeCell ref="CF29:CH29"/>
    <mergeCell ref="CF30:CH30"/>
    <mergeCell ref="CF31:CH31"/>
    <mergeCell ref="CF32:CH32"/>
    <mergeCell ref="CF33:CH33"/>
    <mergeCell ref="CF34:CH34"/>
    <mergeCell ref="CF35:CH35"/>
    <mergeCell ref="CC28:CE28"/>
    <mergeCell ref="CC29:CE29"/>
    <mergeCell ref="CC30:CE30"/>
    <mergeCell ref="CC31:CE31"/>
    <mergeCell ref="CC32:CE32"/>
    <mergeCell ref="CC33:CE33"/>
    <mergeCell ref="CC34:CE34"/>
    <mergeCell ref="CI35:CK35"/>
    <mergeCell ref="CL27:CN27"/>
    <mergeCell ref="CL28:CN28"/>
    <mergeCell ref="CL29:CN29"/>
    <mergeCell ref="CL30:CN30"/>
    <mergeCell ref="CL31:CN31"/>
    <mergeCell ref="CL32:CN32"/>
    <mergeCell ref="CL33:CN33"/>
    <mergeCell ref="CL34:CN34"/>
    <mergeCell ref="CL35:CN35"/>
    <mergeCell ref="CI31:CK31"/>
    <mergeCell ref="CI32:CK32"/>
    <mergeCell ref="CI33:CK33"/>
    <mergeCell ref="CI34:CK34"/>
    <mergeCell ref="CI29:CK29"/>
    <mergeCell ref="CI30:CK30"/>
    <mergeCell ref="CN19:CP19"/>
    <mergeCell ref="CM13:CO13"/>
    <mergeCell ref="CM14:CO14"/>
    <mergeCell ref="CB17:CC17"/>
    <mergeCell ref="CE17:CG17"/>
    <mergeCell ref="CI17:CK17"/>
    <mergeCell ref="CN17:CP17"/>
    <mergeCell ref="CB18:CC18"/>
    <mergeCell ref="CE18:CG18"/>
    <mergeCell ref="CI18:CK18"/>
    <mergeCell ref="CN18:CP18"/>
    <mergeCell ref="CG13:CI13"/>
    <mergeCell ref="CG14:CI14"/>
    <mergeCell ref="CJ13:CL13"/>
    <mergeCell ref="CJ14:CL14"/>
    <mergeCell ref="CM4:CO4"/>
    <mergeCell ref="CM5:CO5"/>
    <mergeCell ref="CM6:CO6"/>
    <mergeCell ref="CM7:CO7"/>
    <mergeCell ref="CM8:CO8"/>
    <mergeCell ref="CM9:CO9"/>
    <mergeCell ref="CM10:CO10"/>
    <mergeCell ref="CM11:CO11"/>
    <mergeCell ref="CM12:CO12"/>
    <mergeCell ref="BX32:BY32"/>
    <mergeCell ref="BX33:BY33"/>
    <mergeCell ref="BX34:BY34"/>
    <mergeCell ref="BX29:BY29"/>
    <mergeCell ref="BO31:BQ31"/>
    <mergeCell ref="BZ35:CB35"/>
    <mergeCell ref="BZ28:CB28"/>
    <mergeCell ref="BZ29:CB29"/>
    <mergeCell ref="BZ30:CB30"/>
    <mergeCell ref="BZ31:CB31"/>
    <mergeCell ref="BZ32:CB32"/>
    <mergeCell ref="BZ33:CB33"/>
    <mergeCell ref="BZ34:CB34"/>
    <mergeCell ref="BO29:BQ29"/>
    <mergeCell ref="BO30:BQ30"/>
    <mergeCell ref="BW35:BY35"/>
    <mergeCell ref="BX31:BY31"/>
    <mergeCell ref="BX30:BY30"/>
    <mergeCell ref="CA7:CF7"/>
    <mergeCell ref="CA8:CF8"/>
    <mergeCell ref="CA9:CF9"/>
    <mergeCell ref="CA10:CF10"/>
    <mergeCell ref="CA11:CF11"/>
    <mergeCell ref="CA12:CF12"/>
    <mergeCell ref="CA13:CF13"/>
    <mergeCell ref="CA14:CF14"/>
    <mergeCell ref="CI28:CK28"/>
    <mergeCell ref="CG11:CI11"/>
    <mergeCell ref="CG12:CI12"/>
    <mergeCell ref="CB19:CC19"/>
    <mergeCell ref="CE19:CG19"/>
    <mergeCell ref="CI19:CK19"/>
    <mergeCell ref="CC27:CK27"/>
    <mergeCell ref="CJ10:CL10"/>
    <mergeCell ref="CJ11:CL11"/>
    <mergeCell ref="CJ12:CL12"/>
    <mergeCell ref="CG10:CI10"/>
    <mergeCell ref="CJ7:CL7"/>
    <mergeCell ref="BZ27:CB27"/>
    <mergeCell ref="BW11:BZ11"/>
    <mergeCell ref="BW7:BZ7"/>
    <mergeCell ref="BW14:BZ14"/>
    <mergeCell ref="CG6:CI6"/>
    <mergeCell ref="CG5:CI5"/>
    <mergeCell ref="CG4:CI4"/>
    <mergeCell ref="CJ4:CL4"/>
    <mergeCell ref="CJ5:CL5"/>
    <mergeCell ref="CJ6:CL6"/>
    <mergeCell ref="CG7:CI7"/>
    <mergeCell ref="CG8:CI8"/>
    <mergeCell ref="CG9:CI9"/>
    <mergeCell ref="CJ8:CL8"/>
    <mergeCell ref="CJ9:CL9"/>
    <mergeCell ref="AQ38:AR38"/>
    <mergeCell ref="AT38:AV38"/>
    <mergeCell ref="AX38:AY38"/>
    <mergeCell ref="BB38:BD38"/>
    <mergeCell ref="BF38:BG38"/>
    <mergeCell ref="AQ37:AR37"/>
    <mergeCell ref="AX37:AY37"/>
    <mergeCell ref="BM37:BO37"/>
    <mergeCell ref="BO32:BQ32"/>
    <mergeCell ref="AQ36:AR36"/>
    <mergeCell ref="AT36:AU36"/>
    <mergeCell ref="AW36:AX36"/>
    <mergeCell ref="BA36:BC36"/>
    <mergeCell ref="BE36:BG36"/>
    <mergeCell ref="BM36:BO36"/>
    <mergeCell ref="BM38:BO38"/>
    <mergeCell ref="BO18:BQ18"/>
    <mergeCell ref="BO19:BQ19"/>
    <mergeCell ref="BO22:BQ22"/>
    <mergeCell ref="BO20:BQ20"/>
    <mergeCell ref="AQ25:AR25"/>
    <mergeCell ref="AQ26:AR26"/>
    <mergeCell ref="AT26:AV26"/>
    <mergeCell ref="AX26:AY26"/>
    <mergeCell ref="BB26:BD26"/>
    <mergeCell ref="BF26:BG26"/>
    <mergeCell ref="BM26:BO26"/>
    <mergeCell ref="BB25:BC25"/>
    <mergeCell ref="BE25:BF25"/>
    <mergeCell ref="BH25:BI25"/>
    <mergeCell ref="BO21:BQ21"/>
    <mergeCell ref="BM25:BO25"/>
    <mergeCell ref="H13:I13"/>
    <mergeCell ref="AA27:AC27"/>
    <mergeCell ref="R13:S13"/>
    <mergeCell ref="U13:V13"/>
    <mergeCell ref="X13:Y13"/>
    <mergeCell ref="H24:I24"/>
    <mergeCell ref="K24:L24"/>
    <mergeCell ref="N24:O24"/>
    <mergeCell ref="H25:I25"/>
    <mergeCell ref="W26:X26"/>
    <mergeCell ref="AD38:AF38"/>
    <mergeCell ref="AD37:AF37"/>
    <mergeCell ref="S37:T37"/>
    <mergeCell ref="V37:W37"/>
    <mergeCell ref="Y37:Z37"/>
    <mergeCell ref="H38:I38"/>
    <mergeCell ref="K38:M38"/>
    <mergeCell ref="O38:P38"/>
    <mergeCell ref="S38:U38"/>
    <mergeCell ref="W38:X38"/>
    <mergeCell ref="H37:I37"/>
    <mergeCell ref="AF32:AH32"/>
    <mergeCell ref="AF34:AH34"/>
    <mergeCell ref="H36:I36"/>
    <mergeCell ref="K36:L36"/>
    <mergeCell ref="N36:O36"/>
    <mergeCell ref="R36:T36"/>
    <mergeCell ref="V36:X36"/>
    <mergeCell ref="AD36:AF36"/>
    <mergeCell ref="AF33:AH33"/>
    <mergeCell ref="AF30:AH30"/>
    <mergeCell ref="AF31:AH31"/>
    <mergeCell ref="AD26:AF26"/>
    <mergeCell ref="H14:I14"/>
    <mergeCell ref="K14:M14"/>
    <mergeCell ref="O14:P14"/>
    <mergeCell ref="S14:U14"/>
    <mergeCell ref="H26:I26"/>
    <mergeCell ref="K26:M26"/>
    <mergeCell ref="O26:P26"/>
    <mergeCell ref="S26:U26"/>
    <mergeCell ref="R24:T24"/>
    <mergeCell ref="V25:W25"/>
    <mergeCell ref="S25:T25"/>
    <mergeCell ref="AD25:AF25"/>
    <mergeCell ref="AF18:AH18"/>
    <mergeCell ref="AF19:AH19"/>
    <mergeCell ref="AF20:AH20"/>
    <mergeCell ref="AF21:AH21"/>
    <mergeCell ref="H12:I12"/>
    <mergeCell ref="K12:L12"/>
    <mergeCell ref="N12:O12"/>
    <mergeCell ref="AF5:AH5"/>
    <mergeCell ref="AF8:AH8"/>
    <mergeCell ref="AF6:AH6"/>
    <mergeCell ref="AF10:AH10"/>
    <mergeCell ref="AF9:AH9"/>
    <mergeCell ref="AF7:AH7"/>
    <mergeCell ref="R12:T12"/>
    <mergeCell ref="V12:X12"/>
    <mergeCell ref="AD12:AF12"/>
    <mergeCell ref="BO3:BQ3"/>
    <mergeCell ref="BO4:BQ4"/>
    <mergeCell ref="BO5:BQ5"/>
    <mergeCell ref="BO6:BQ6"/>
    <mergeCell ref="BO9:BQ9"/>
    <mergeCell ref="BO7:BQ7"/>
    <mergeCell ref="AQ11:AR11"/>
    <mergeCell ref="AT11:AU11"/>
    <mergeCell ref="AW11:AX11"/>
    <mergeCell ref="BA11:BC11"/>
    <mergeCell ref="BE11:BG11"/>
    <mergeCell ref="BM11:BO11"/>
    <mergeCell ref="AD13:AF13"/>
    <mergeCell ref="AF22:AH22"/>
    <mergeCell ref="V24:X24"/>
    <mergeCell ref="AD24:AF24"/>
    <mergeCell ref="AD14:AF14"/>
    <mergeCell ref="W14:X14"/>
    <mergeCell ref="AF17:AH17"/>
    <mergeCell ref="AQ12:AR12"/>
    <mergeCell ref="BM12:BO12"/>
    <mergeCell ref="AQ13:AR13"/>
    <mergeCell ref="AT13:AV13"/>
    <mergeCell ref="AX13:AY13"/>
    <mergeCell ref="BB13:BD13"/>
    <mergeCell ref="BB12:BC12"/>
    <mergeCell ref="BE12:BF12"/>
    <mergeCell ref="BF13:BG13"/>
    <mergeCell ref="BM13:BO13"/>
    <mergeCell ref="AQ24:AR24"/>
    <mergeCell ref="AT24:AU24"/>
    <mergeCell ref="AW24:AX24"/>
    <mergeCell ref="BA24:BC24"/>
    <mergeCell ref="BE24:BG24"/>
    <mergeCell ref="BM24:BO24"/>
    <mergeCell ref="BO17:BQ17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2" manualBreakCount="2">
    <brk id="35" max="1048575" man="1"/>
    <brk id="7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9EE56-5783-4199-9D71-15EDE83DA98D}">
  <dimension ref="B2:DA42"/>
  <sheetViews>
    <sheetView showGridLines="0" view="pageBreakPreview" zoomScale="60" zoomScaleNormal="65" workbookViewId="0">
      <selection activeCell="A2" sqref="A2"/>
    </sheetView>
  </sheetViews>
  <sheetFormatPr defaultRowHeight="18"/>
  <cols>
    <col min="1" max="138" width="3" customWidth="1"/>
  </cols>
  <sheetData>
    <row r="2" spans="2:103">
      <c r="B2" t="s">
        <v>517</v>
      </c>
      <c r="BV2" s="251" t="s">
        <v>67</v>
      </c>
      <c r="BW2" s="251"/>
      <c r="BX2" s="252" t="s">
        <v>154</v>
      </c>
      <c r="BY2" s="252"/>
      <c r="BZ2" s="252"/>
      <c r="CA2" s="252" t="s">
        <v>460</v>
      </c>
      <c r="CB2" s="252"/>
      <c r="CC2" s="252"/>
      <c r="CD2" s="252" t="s">
        <v>47</v>
      </c>
      <c r="CE2" s="252"/>
      <c r="CF2" s="252"/>
      <c r="CG2" s="252" t="s">
        <v>46</v>
      </c>
      <c r="CH2" s="252"/>
      <c r="CI2" s="252"/>
    </row>
    <row r="3" spans="2:103">
      <c r="C3" t="s">
        <v>45</v>
      </c>
      <c r="V3" s="34" t="s">
        <v>229</v>
      </c>
      <c r="W3" s="35"/>
      <c r="X3" s="35"/>
      <c r="Y3" s="35"/>
      <c r="Z3" s="35"/>
      <c r="AA3" s="35"/>
      <c r="AB3" s="35"/>
      <c r="AC3" s="36" t="s">
        <v>34</v>
      </c>
      <c r="AD3" s="35"/>
      <c r="AE3" s="35" t="s">
        <v>2</v>
      </c>
      <c r="AF3" s="143">
        <f>'1.設計条件'!T5</f>
        <v>6.1</v>
      </c>
      <c r="AG3" s="143"/>
      <c r="AH3" s="143"/>
      <c r="AI3" s="37" t="s">
        <v>3</v>
      </c>
      <c r="AL3" t="s">
        <v>62</v>
      </c>
      <c r="BT3" s="1" t="str">
        <f t="shared" ref="BT3:BT16" si="0">IF(MAX(CG$3:CG$16)=CG3, 1,"")</f>
        <v/>
      </c>
      <c r="BV3" s="227">
        <v>45</v>
      </c>
      <c r="BW3" s="227"/>
      <c r="BX3" s="226">
        <f>(AO$19/TAN(BV3*PI()/180))+AS$19</f>
        <v>3.6600000000000006</v>
      </c>
      <c r="BY3" s="226"/>
      <c r="BZ3" s="226"/>
      <c r="CA3" s="226">
        <f>(AO$26/TAN(BV3*PI()/180))+AS$26</f>
        <v>2.2200000000000006</v>
      </c>
      <c r="CB3" s="226"/>
      <c r="CC3" s="226"/>
      <c r="CD3" s="226">
        <f>AO$13*BX3+AT$13*CA3</f>
        <v>211.73400000000004</v>
      </c>
      <c r="CE3" s="226"/>
      <c r="CF3" s="226"/>
      <c r="CG3" s="226">
        <f>CD3*SIN((BV3-BP$4)*PI()/180)/COS((BV3-BN$5)*PI()/180)</f>
        <v>37.172338997788536</v>
      </c>
      <c r="CH3" s="226"/>
      <c r="CI3" s="226"/>
    </row>
    <row r="4" spans="2:103">
      <c r="C4" s="218" t="s">
        <v>46</v>
      </c>
      <c r="D4" s="218"/>
      <c r="E4" s="254" t="s">
        <v>2</v>
      </c>
      <c r="F4" s="11" t="s">
        <v>47</v>
      </c>
      <c r="G4" s="10" t="s">
        <v>48</v>
      </c>
      <c r="H4" s="255" t="s">
        <v>80</v>
      </c>
      <c r="I4" s="255"/>
      <c r="J4" s="255"/>
      <c r="K4" s="255"/>
      <c r="V4" s="5" t="s">
        <v>4</v>
      </c>
      <c r="AC4" s="2" t="s">
        <v>36</v>
      </c>
      <c r="AE4" t="s">
        <v>2</v>
      </c>
      <c r="AF4" s="216">
        <f>'1.設計条件'!T7</f>
        <v>1.1000000000000001</v>
      </c>
      <c r="AG4" s="216"/>
      <c r="AH4" s="216"/>
      <c r="AI4" s="38" t="s">
        <v>3</v>
      </c>
      <c r="AL4" s="218" t="s">
        <v>46</v>
      </c>
      <c r="AM4" s="218"/>
      <c r="AN4" s="254" t="s">
        <v>2</v>
      </c>
      <c r="AO4" s="11" t="s">
        <v>47</v>
      </c>
      <c r="AP4" s="10" t="s">
        <v>48</v>
      </c>
      <c r="AQ4" s="255" t="s">
        <v>80</v>
      </c>
      <c r="AR4" s="255"/>
      <c r="AS4" s="255"/>
      <c r="AT4" s="255"/>
      <c r="AV4" s="254" t="s">
        <v>2</v>
      </c>
      <c r="AW4" s="11" t="s">
        <v>47</v>
      </c>
      <c r="AX4" s="10" t="s">
        <v>48</v>
      </c>
      <c r="AY4" s="264" t="s">
        <v>63</v>
      </c>
      <c r="AZ4" s="264"/>
      <c r="BA4" s="17" t="s">
        <v>67</v>
      </c>
      <c r="BB4" s="10" t="s">
        <v>50</v>
      </c>
      <c r="BC4" s="18">
        <f>R26</f>
        <v>35</v>
      </c>
      <c r="BD4" s="10" t="s">
        <v>42</v>
      </c>
      <c r="BE4" s="10"/>
      <c r="BF4" s="10"/>
      <c r="BG4" s="10"/>
      <c r="BI4" s="254" t="s">
        <v>2</v>
      </c>
      <c r="BJ4" s="11" t="s">
        <v>47</v>
      </c>
      <c r="BK4" s="10" t="s">
        <v>48</v>
      </c>
      <c r="BL4" s="264" t="s">
        <v>63</v>
      </c>
      <c r="BM4" s="264"/>
      <c r="BN4" s="17" t="s">
        <v>67</v>
      </c>
      <c r="BO4" s="10" t="s">
        <v>50</v>
      </c>
      <c r="BP4" s="18">
        <f>R26</f>
        <v>35</v>
      </c>
      <c r="BQ4" s="18" t="s">
        <v>42</v>
      </c>
      <c r="BT4" s="1" t="str">
        <f t="shared" si="0"/>
        <v/>
      </c>
      <c r="BV4" s="227">
        <v>46</v>
      </c>
      <c r="BW4" s="227"/>
      <c r="BX4" s="170">
        <f t="shared" ref="BX4:BX16" si="1">(AO$19/TAN(BV4*PI()/180))+AS$19</f>
        <v>3.4507015263231522</v>
      </c>
      <c r="BY4" s="171"/>
      <c r="BZ4" s="172"/>
      <c r="CA4" s="226">
        <f t="shared" ref="CA4:CA16" si="2">(AO$26/TAN(BV4*PI()/180))+AS$26</f>
        <v>2.0930484667861746</v>
      </c>
      <c r="CB4" s="226"/>
      <c r="CC4" s="226"/>
      <c r="CD4" s="226">
        <f t="shared" ref="CD4:CD16" si="3">AO$13*BX4+AT$13*CA4</f>
        <v>199.6259117416684</v>
      </c>
      <c r="CE4" s="226"/>
      <c r="CF4" s="226"/>
      <c r="CG4" s="226">
        <f t="shared" ref="CG4:CG16" si="4">CD4*SIN((BV4-BP$4)*PI()/180)/COS((BV4-BN$5)*PI()/180)</f>
        <v>38.616317714648353</v>
      </c>
      <c r="CH4" s="226"/>
      <c r="CI4" s="226"/>
    </row>
    <row r="5" spans="2:103">
      <c r="C5" s="218"/>
      <c r="D5" s="218"/>
      <c r="E5" s="254"/>
      <c r="F5" s="253" t="s">
        <v>81</v>
      </c>
      <c r="G5" s="253"/>
      <c r="H5" s="253"/>
      <c r="I5" s="253"/>
      <c r="J5" s="253"/>
      <c r="K5" s="253"/>
      <c r="V5" s="5" t="s">
        <v>277</v>
      </c>
      <c r="AC5" s="2" t="s">
        <v>35</v>
      </c>
      <c r="AE5" t="s">
        <v>2</v>
      </c>
      <c r="AF5" s="216">
        <f>'1.設計条件'!T9</f>
        <v>1.3</v>
      </c>
      <c r="AG5" s="216"/>
      <c r="AH5" s="216"/>
      <c r="AI5" s="38" t="s">
        <v>3</v>
      </c>
      <c r="AL5" s="218"/>
      <c r="AM5" s="218"/>
      <c r="AN5" s="254"/>
      <c r="AO5" s="253" t="s">
        <v>81</v>
      </c>
      <c r="AP5" s="253"/>
      <c r="AQ5" s="253"/>
      <c r="AR5" s="253"/>
      <c r="AS5" s="253"/>
      <c r="AT5" s="253"/>
      <c r="AV5" s="254"/>
      <c r="AW5" s="219" t="s">
        <v>64</v>
      </c>
      <c r="AX5" s="219"/>
      <c r="AY5" s="16" t="s">
        <v>67</v>
      </c>
      <c r="AZ5" t="s">
        <v>50</v>
      </c>
      <c r="BA5" s="1">
        <f>R26</f>
        <v>35</v>
      </c>
      <c r="BB5" t="s">
        <v>50</v>
      </c>
      <c r="BC5" s="256">
        <f>Q28</f>
        <v>-21.8</v>
      </c>
      <c r="BD5" s="256"/>
      <c r="BE5" s="1" t="s">
        <v>86</v>
      </c>
      <c r="BF5" s="256">
        <f>O30</f>
        <v>23.333333333333332</v>
      </c>
      <c r="BG5" s="256"/>
      <c r="BH5" t="s">
        <v>42</v>
      </c>
      <c r="BI5" s="254"/>
      <c r="BJ5" s="219" t="s">
        <v>64</v>
      </c>
      <c r="BK5" s="219"/>
      <c r="BL5" s="16" t="s">
        <v>67</v>
      </c>
      <c r="BM5" t="s">
        <v>50</v>
      </c>
      <c r="BN5" s="256">
        <f>BA5+BC5+BF5</f>
        <v>36.533333333333331</v>
      </c>
      <c r="BO5" s="256"/>
      <c r="BP5" s="256"/>
      <c r="BQ5" t="s">
        <v>42</v>
      </c>
      <c r="BT5" s="1" t="str">
        <f t="shared" si="0"/>
        <v/>
      </c>
      <c r="BV5" s="227">
        <v>47</v>
      </c>
      <c r="BW5" s="227"/>
      <c r="BX5" s="170">
        <f t="shared" si="1"/>
        <v>3.2483420254397362</v>
      </c>
      <c r="BY5" s="171"/>
      <c r="BZ5" s="172"/>
      <c r="CA5" s="226">
        <f t="shared" si="2"/>
        <v>1.9703058187093483</v>
      </c>
      <c r="CB5" s="226"/>
      <c r="CC5" s="226"/>
      <c r="CD5" s="226">
        <f t="shared" si="3"/>
        <v>187.91924874711941</v>
      </c>
      <c r="CE5" s="226"/>
      <c r="CF5" s="226"/>
      <c r="CG5" s="226">
        <f t="shared" si="4"/>
        <v>39.731714213384073</v>
      </c>
      <c r="CH5" s="226"/>
      <c r="CI5" s="226"/>
      <c r="CJ5" t="s">
        <v>118</v>
      </c>
      <c r="CS5" s="219" t="s">
        <v>67</v>
      </c>
      <c r="CT5" s="219"/>
      <c r="CU5" t="s">
        <v>2</v>
      </c>
      <c r="CV5" s="217">
        <f>VLOOKUP(1,BT3:CI16,3)</f>
        <v>50</v>
      </c>
      <c r="CW5" s="217"/>
      <c r="CX5" s="217"/>
      <c r="CY5" t="s">
        <v>18</v>
      </c>
    </row>
    <row r="6" spans="2:103">
      <c r="V6" s="5" t="s">
        <v>282</v>
      </c>
      <c r="AA6" s="1"/>
      <c r="AC6" s="2" t="s">
        <v>230</v>
      </c>
      <c r="AE6" t="s">
        <v>2</v>
      </c>
      <c r="AF6" s="216">
        <f>'1.設計条件'!T10</f>
        <v>0.3</v>
      </c>
      <c r="AG6" s="216"/>
      <c r="AH6" s="216"/>
      <c r="AI6" s="38" t="s">
        <v>3</v>
      </c>
      <c r="BT6" s="1" t="str">
        <f t="shared" si="0"/>
        <v/>
      </c>
      <c r="BV6" s="227">
        <v>48</v>
      </c>
      <c r="BW6" s="227"/>
      <c r="BX6" s="170">
        <f t="shared" si="1"/>
        <v>3.0524646702168243</v>
      </c>
      <c r="BY6" s="171"/>
      <c r="BZ6" s="172"/>
      <c r="CA6" s="226">
        <f t="shared" si="2"/>
        <v>1.851494963902008</v>
      </c>
      <c r="CB6" s="226"/>
      <c r="CC6" s="226"/>
      <c r="CD6" s="226">
        <f t="shared" si="3"/>
        <v>176.58758319226476</v>
      </c>
      <c r="CE6" s="226"/>
      <c r="CF6" s="226"/>
      <c r="CG6" s="226">
        <f t="shared" si="4"/>
        <v>40.532571822705492</v>
      </c>
      <c r="CH6" s="226"/>
      <c r="CI6" s="226"/>
    </row>
    <row r="7" spans="2:103">
      <c r="C7" s="218" t="s">
        <v>47</v>
      </c>
      <c r="D7" s="218"/>
      <c r="E7" s="254" t="s">
        <v>2</v>
      </c>
      <c r="F7" s="11" t="s">
        <v>460</v>
      </c>
      <c r="G7" s="10" t="s">
        <v>48</v>
      </c>
      <c r="H7" s="11" t="s">
        <v>457</v>
      </c>
      <c r="I7" s="254" t="s">
        <v>48</v>
      </c>
      <c r="J7" s="219" t="s">
        <v>478</v>
      </c>
      <c r="K7" s="219"/>
      <c r="M7" s="16"/>
      <c r="N7" s="16"/>
      <c r="O7" s="254"/>
      <c r="V7" s="5" t="s">
        <v>283</v>
      </c>
      <c r="AC7" s="2" t="s">
        <v>285</v>
      </c>
      <c r="AE7" t="s">
        <v>2</v>
      </c>
      <c r="AF7" s="216">
        <f>'1.設計条件'!T12</f>
        <v>0.1</v>
      </c>
      <c r="AG7" s="216"/>
      <c r="AH7" s="216"/>
      <c r="AI7" s="38" t="s">
        <v>3</v>
      </c>
      <c r="AL7" s="218" t="s">
        <v>47</v>
      </c>
      <c r="AM7" s="218"/>
      <c r="AN7" s="254" t="s">
        <v>2</v>
      </c>
      <c r="AO7" s="11" t="s">
        <v>460</v>
      </c>
      <c r="AP7" s="10" t="s">
        <v>48</v>
      </c>
      <c r="AQ7" s="11" t="s">
        <v>457</v>
      </c>
      <c r="AR7" s="254" t="s">
        <v>48</v>
      </c>
      <c r="AS7" s="219" t="s">
        <v>477</v>
      </c>
      <c r="AT7" s="219"/>
      <c r="AU7" s="254" t="s">
        <v>49</v>
      </c>
      <c r="AV7" s="11" t="s">
        <v>460</v>
      </c>
      <c r="AW7" s="10" t="s">
        <v>49</v>
      </c>
      <c r="AX7" s="11" t="s">
        <v>154</v>
      </c>
      <c r="AY7" s="254" t="s">
        <v>461</v>
      </c>
      <c r="AZ7" s="218" t="s">
        <v>34</v>
      </c>
      <c r="BA7" s="218"/>
      <c r="BB7" s="254" t="s">
        <v>82</v>
      </c>
      <c r="BC7" s="218" t="s">
        <v>457</v>
      </c>
      <c r="BD7" s="218"/>
      <c r="BE7" s="254" t="s">
        <v>463</v>
      </c>
      <c r="BF7" s="219" t="s">
        <v>83</v>
      </c>
      <c r="BG7" s="219"/>
      <c r="BH7" s="254" t="s">
        <v>49</v>
      </c>
      <c r="BI7" s="218" t="s">
        <v>27</v>
      </c>
      <c r="BJ7" s="254" t="s">
        <v>48</v>
      </c>
      <c r="BK7" s="218" t="s">
        <v>154</v>
      </c>
      <c r="BT7" s="1" t="str">
        <f t="shared" si="0"/>
        <v/>
      </c>
      <c r="BV7" s="227">
        <v>49</v>
      </c>
      <c r="BW7" s="227"/>
      <c r="BX7" s="170">
        <f t="shared" si="1"/>
        <v>2.8626491006789831</v>
      </c>
      <c r="BY7" s="171"/>
      <c r="BZ7" s="172"/>
      <c r="CA7" s="226">
        <f t="shared" si="2"/>
        <v>1.7363609299200389</v>
      </c>
      <c r="CB7" s="226"/>
      <c r="CC7" s="226"/>
      <c r="CD7" s="226">
        <f t="shared" si="3"/>
        <v>165.60659690796825</v>
      </c>
      <c r="CE7" s="226"/>
      <c r="CF7" s="226"/>
      <c r="CG7" s="226">
        <f t="shared" si="4"/>
        <v>41.031307815349024</v>
      </c>
      <c r="CH7" s="226"/>
      <c r="CI7" s="226"/>
      <c r="CS7" s="218" t="s">
        <v>154</v>
      </c>
      <c r="CT7" s="218"/>
      <c r="CU7" t="s">
        <v>2</v>
      </c>
      <c r="CV7" s="216">
        <f>VLOOKUP(1,BT3:CI16,5)</f>
        <v>2.6785077501814079</v>
      </c>
      <c r="CW7" s="216"/>
      <c r="CX7" s="216"/>
      <c r="CY7" s="1" t="s">
        <v>3</v>
      </c>
    </row>
    <row r="8" spans="2:103">
      <c r="C8" s="218"/>
      <c r="D8" s="218"/>
      <c r="E8" s="254"/>
      <c r="G8" s="1">
        <v>2</v>
      </c>
      <c r="I8" s="254"/>
      <c r="J8" s="219"/>
      <c r="K8" s="219"/>
      <c r="M8" s="16"/>
      <c r="N8" s="16"/>
      <c r="O8" s="254"/>
      <c r="V8" s="7" t="s">
        <v>281</v>
      </c>
      <c r="W8" s="10"/>
      <c r="X8" s="10"/>
      <c r="Y8" s="10"/>
      <c r="Z8" s="10"/>
      <c r="AA8" s="18">
        <v>1</v>
      </c>
      <c r="AB8" s="10" t="s">
        <v>6</v>
      </c>
      <c r="AC8" s="67" t="s">
        <v>233</v>
      </c>
      <c r="AD8" s="10"/>
      <c r="AE8" s="10"/>
      <c r="AF8" s="257">
        <f>'1.設計条件'!T13</f>
        <v>0.4</v>
      </c>
      <c r="AG8" s="257"/>
      <c r="AH8" s="257"/>
      <c r="AI8" s="39"/>
      <c r="AL8" s="218"/>
      <c r="AM8" s="218"/>
      <c r="AN8" s="254"/>
      <c r="AP8" s="1">
        <v>2</v>
      </c>
      <c r="AR8" s="254"/>
      <c r="AS8" s="219"/>
      <c r="AT8" s="219"/>
      <c r="AU8" s="254"/>
      <c r="AW8" s="1">
        <v>2</v>
      </c>
      <c r="AY8" s="254"/>
      <c r="AZ8" s="218"/>
      <c r="BA8" s="218"/>
      <c r="BB8" s="254"/>
      <c r="BC8" s="218"/>
      <c r="BD8" s="218"/>
      <c r="BE8" s="254"/>
      <c r="BF8" s="219"/>
      <c r="BG8" s="219"/>
      <c r="BH8" s="254"/>
      <c r="BI8" s="218"/>
      <c r="BJ8" s="254"/>
      <c r="BK8" s="218"/>
      <c r="BT8" s="1">
        <f t="shared" si="0"/>
        <v>1</v>
      </c>
      <c r="BV8" s="227">
        <v>50</v>
      </c>
      <c r="BW8" s="227"/>
      <c r="BX8" s="170">
        <f t="shared" si="1"/>
        <v>2.6785077501814079</v>
      </c>
      <c r="BY8" s="171"/>
      <c r="BZ8" s="172"/>
      <c r="CA8" s="226">
        <f t="shared" si="2"/>
        <v>1.6246686353559359</v>
      </c>
      <c r="CB8" s="226"/>
      <c r="CC8" s="226"/>
      <c r="CD8" s="226">
        <f>AO$13*BX8+AT$13*CA8</f>
        <v>154.95386884615033</v>
      </c>
      <c r="CE8" s="226"/>
      <c r="CF8" s="226"/>
      <c r="CG8" s="226">
        <f t="shared" si="4"/>
        <v>41.238851122960298</v>
      </c>
      <c r="CH8" s="226"/>
      <c r="CI8" s="226"/>
      <c r="CS8" s="2"/>
      <c r="CT8" s="2"/>
      <c r="CV8" s="21"/>
      <c r="CW8" s="21"/>
      <c r="CX8" s="21"/>
      <c r="CY8" s="1"/>
    </row>
    <row r="9" spans="2:103">
      <c r="F9" s="254" t="s">
        <v>49</v>
      </c>
      <c r="G9" s="11" t="s">
        <v>460</v>
      </c>
      <c r="H9" s="10" t="s">
        <v>49</v>
      </c>
      <c r="I9" s="11" t="s">
        <v>154</v>
      </c>
      <c r="J9" s="254" t="s">
        <v>461</v>
      </c>
      <c r="K9" s="218" t="s">
        <v>34</v>
      </c>
      <c r="L9" s="218"/>
      <c r="M9" s="254" t="s">
        <v>82</v>
      </c>
      <c r="N9" s="218" t="s">
        <v>457</v>
      </c>
      <c r="O9" s="218"/>
      <c r="P9" s="254" t="s">
        <v>42</v>
      </c>
      <c r="Q9" s="254" t="s">
        <v>48</v>
      </c>
      <c r="R9" s="219" t="s">
        <v>83</v>
      </c>
      <c r="S9" s="219"/>
      <c r="AN9" s="254" t="s">
        <v>2</v>
      </c>
      <c r="AO9" s="11" t="s">
        <v>460</v>
      </c>
      <c r="AP9" s="10" t="s">
        <v>48</v>
      </c>
      <c r="AQ9" s="258">
        <f>'1.設計条件'!T37</f>
        <v>3.7</v>
      </c>
      <c r="AR9" s="258"/>
      <c r="AS9" s="254" t="s">
        <v>48</v>
      </c>
      <c r="AT9" s="217">
        <f>'1.設計条件'!T26</f>
        <v>10</v>
      </c>
      <c r="AU9" s="254" t="s">
        <v>49</v>
      </c>
      <c r="AV9" s="11" t="s">
        <v>460</v>
      </c>
      <c r="AW9" s="10" t="s">
        <v>49</v>
      </c>
      <c r="AX9" s="11" t="s">
        <v>154</v>
      </c>
      <c r="AY9" s="254" t="s">
        <v>461</v>
      </c>
      <c r="AZ9" s="216">
        <f>AF3</f>
        <v>6.1</v>
      </c>
      <c r="BA9" s="216"/>
      <c r="BB9" s="254" t="s">
        <v>82</v>
      </c>
      <c r="BC9" s="216">
        <f>AQ9</f>
        <v>3.7</v>
      </c>
      <c r="BD9" s="216"/>
      <c r="BE9" s="254" t="s">
        <v>463</v>
      </c>
      <c r="BF9" s="217">
        <f>'1.設計条件'!T25</f>
        <v>19</v>
      </c>
      <c r="BH9" s="254" t="s">
        <v>49</v>
      </c>
      <c r="BI9" s="217">
        <f>'1.設計条件'!T36</f>
        <v>10</v>
      </c>
      <c r="BJ9" s="254" t="s">
        <v>48</v>
      </c>
      <c r="BK9" s="218" t="s">
        <v>154</v>
      </c>
      <c r="BT9" s="1" t="str">
        <f t="shared" si="0"/>
        <v/>
      </c>
      <c r="BV9" s="227">
        <v>51</v>
      </c>
      <c r="BW9" s="227"/>
      <c r="BX9" s="170">
        <f t="shared" si="1"/>
        <v>2.4996826024895449</v>
      </c>
      <c r="BY9" s="171"/>
      <c r="BZ9" s="172"/>
      <c r="CA9" s="226">
        <f t="shared" si="2"/>
        <v>1.5162009228215274</v>
      </c>
      <c r="CB9" s="226"/>
      <c r="CC9" s="226"/>
      <c r="CD9" s="226">
        <f t="shared" si="3"/>
        <v>144.60868747418615</v>
      </c>
      <c r="CE9" s="226"/>
      <c r="CF9" s="226"/>
      <c r="CG9" s="226">
        <f t="shared" si="4"/>
        <v>41.164761503064156</v>
      </c>
      <c r="CH9" s="226"/>
      <c r="CI9" s="226"/>
      <c r="CS9" s="218" t="s">
        <v>47</v>
      </c>
      <c r="CT9" s="218"/>
      <c r="CU9" t="s">
        <v>2</v>
      </c>
      <c r="CV9" s="216">
        <f>VLOOKUP(1,BT3:CI16,11)</f>
        <v>154.95386884615033</v>
      </c>
      <c r="CW9" s="216"/>
      <c r="CX9" s="216"/>
      <c r="CY9" s="19" t="s">
        <v>74</v>
      </c>
    </row>
    <row r="10" spans="2:103">
      <c r="F10" s="254"/>
      <c r="H10" s="1">
        <v>2</v>
      </c>
      <c r="J10" s="254"/>
      <c r="K10" s="218"/>
      <c r="L10" s="218"/>
      <c r="M10" s="254"/>
      <c r="N10" s="218"/>
      <c r="O10" s="218"/>
      <c r="P10" s="254"/>
      <c r="Q10" s="254"/>
      <c r="R10" s="219"/>
      <c r="S10" s="219"/>
      <c r="V10" s="34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40"/>
      <c r="AN10" s="254"/>
      <c r="AP10" s="1">
        <v>2</v>
      </c>
      <c r="AS10" s="254"/>
      <c r="AT10" s="217"/>
      <c r="AU10" s="254"/>
      <c r="AW10" s="1">
        <v>2</v>
      </c>
      <c r="AY10" s="254"/>
      <c r="AZ10" s="216"/>
      <c r="BA10" s="216"/>
      <c r="BB10" s="254"/>
      <c r="BC10" s="216"/>
      <c r="BD10" s="216"/>
      <c r="BE10" s="254"/>
      <c r="BF10" s="217"/>
      <c r="BH10" s="254"/>
      <c r="BI10" s="217"/>
      <c r="BJ10" s="254"/>
      <c r="BK10" s="218"/>
      <c r="BT10" s="1" t="str">
        <f t="shared" si="0"/>
        <v/>
      </c>
      <c r="BV10" s="227">
        <v>52</v>
      </c>
      <c r="BW10" s="227"/>
      <c r="BX10" s="170">
        <f t="shared" si="1"/>
        <v>2.3258423216909763</v>
      </c>
      <c r="BY10" s="171"/>
      <c r="BZ10" s="172"/>
      <c r="CA10" s="226">
        <f t="shared" si="2"/>
        <v>1.4107568180748544</v>
      </c>
      <c r="CB10" s="226"/>
      <c r="CC10" s="226"/>
      <c r="CD10" s="226">
        <f>AO$13*BX10+AT$13*CA10</f>
        <v>134.5518847379555</v>
      </c>
      <c r="CE10" s="226"/>
      <c r="CF10" s="226"/>
      <c r="CG10" s="226">
        <f t="shared" si="4"/>
        <v>40.817332461561755</v>
      </c>
      <c r="CH10" s="226"/>
      <c r="CI10" s="226"/>
      <c r="CS10" s="2"/>
      <c r="CT10" s="2"/>
      <c r="CV10" s="21"/>
      <c r="CW10" s="21"/>
      <c r="CX10" s="21"/>
      <c r="CY10" s="1"/>
    </row>
    <row r="11" spans="2:103">
      <c r="F11" s="254" t="s">
        <v>49</v>
      </c>
      <c r="G11" s="218" t="s">
        <v>27</v>
      </c>
      <c r="H11" s="254" t="s">
        <v>48</v>
      </c>
      <c r="I11" s="218" t="s">
        <v>154</v>
      </c>
      <c r="V11" s="5"/>
      <c r="AI11" s="6"/>
      <c r="BT11" s="1" t="str">
        <f t="shared" si="0"/>
        <v/>
      </c>
      <c r="BV11" s="227">
        <v>53</v>
      </c>
      <c r="BW11" s="227"/>
      <c r="BX11" s="170">
        <f t="shared" si="1"/>
        <v>2.1566797056270448</v>
      </c>
      <c r="BY11" s="171"/>
      <c r="BZ11" s="172"/>
      <c r="CA11" s="226">
        <f t="shared" si="2"/>
        <v>1.3081499853803387</v>
      </c>
      <c r="CB11" s="226"/>
      <c r="CC11" s="226"/>
      <c r="CD11" s="226">
        <f t="shared" si="3"/>
        <v>124.76568874077505</v>
      </c>
      <c r="CE11" s="226"/>
      <c r="CF11" s="226"/>
      <c r="CG11" s="226">
        <f t="shared" si="4"/>
        <v>40.203679863892731</v>
      </c>
      <c r="CH11" s="226"/>
      <c r="CI11" s="226"/>
      <c r="CJ11" t="s">
        <v>68</v>
      </c>
      <c r="CS11" s="218" t="s">
        <v>307</v>
      </c>
      <c r="CT11" s="218"/>
      <c r="CU11" t="s">
        <v>2</v>
      </c>
      <c r="CV11" s="216">
        <f>VLOOKUP(1,BT3:CI16,14)</f>
        <v>41.238851122960298</v>
      </c>
      <c r="CW11" s="216"/>
      <c r="CX11" s="216"/>
      <c r="CY11" s="19" t="s">
        <v>74</v>
      </c>
    </row>
    <row r="12" spans="2:103">
      <c r="F12" s="254"/>
      <c r="G12" s="218"/>
      <c r="H12" s="254"/>
      <c r="I12" s="218"/>
      <c r="V12" s="5"/>
      <c r="AI12" s="6"/>
      <c r="AN12" t="s">
        <v>2</v>
      </c>
      <c r="AO12" s="265">
        <f>AQ9/AP10*AT9</f>
        <v>18.5</v>
      </c>
      <c r="AP12" s="265"/>
      <c r="AQ12" s="265"/>
      <c r="AR12" s="79" t="s">
        <v>460</v>
      </c>
      <c r="AU12" t="s">
        <v>49</v>
      </c>
      <c r="AV12" s="216">
        <f>(AZ9-BC9)/AW10*BF9</f>
        <v>22.799999999999994</v>
      </c>
      <c r="AW12" s="216"/>
      <c r="AX12" s="216"/>
      <c r="AY12" s="79" t="s">
        <v>460</v>
      </c>
      <c r="AZ12" t="s">
        <v>49</v>
      </c>
      <c r="BA12" s="216">
        <f>(AZ9-BC9)/AW10*BF9</f>
        <v>22.799999999999994</v>
      </c>
      <c r="BB12" s="216"/>
      <c r="BC12" s="216"/>
      <c r="BD12" s="79" t="s">
        <v>154</v>
      </c>
      <c r="BH12" t="s">
        <v>49</v>
      </c>
      <c r="BI12" s="41">
        <f>BI9</f>
        <v>10</v>
      </c>
      <c r="BJ12" t="s">
        <v>48</v>
      </c>
      <c r="BK12" s="2" t="s">
        <v>154</v>
      </c>
      <c r="BT12" s="1" t="str">
        <f t="shared" si="0"/>
        <v/>
      </c>
      <c r="BV12" s="227">
        <v>54</v>
      </c>
      <c r="BW12" s="227"/>
      <c r="BX12" s="170">
        <f t="shared" si="1"/>
        <v>1.9919094208327022</v>
      </c>
      <c r="BY12" s="171"/>
      <c r="BZ12" s="172"/>
      <c r="CA12" s="226">
        <f t="shared" si="2"/>
        <v>1.2082073536198357</v>
      </c>
      <c r="CB12" s="226"/>
      <c r="CC12" s="226"/>
      <c r="CD12" s="226">
        <f t="shared" si="3"/>
        <v>115.23359270781184</v>
      </c>
      <c r="CE12" s="226"/>
      <c r="CF12" s="226"/>
      <c r="CG12" s="226">
        <f t="shared" si="4"/>
        <v>39.329817856804091</v>
      </c>
      <c r="CH12" s="226"/>
      <c r="CI12" s="226"/>
      <c r="CJ12" s="13"/>
      <c r="CK12" s="13"/>
    </row>
    <row r="13" spans="2:103">
      <c r="V13" s="5"/>
      <c r="AI13" s="6"/>
      <c r="AN13" t="s">
        <v>2</v>
      </c>
      <c r="AO13" s="216">
        <f>BA12+BI12</f>
        <v>32.799999999999997</v>
      </c>
      <c r="AP13" s="216"/>
      <c r="AQ13" s="216"/>
      <c r="AR13" s="79" t="s">
        <v>154</v>
      </c>
      <c r="AS13" t="s">
        <v>49</v>
      </c>
      <c r="AT13" s="265">
        <f>AO12+AV12</f>
        <v>41.3</v>
      </c>
      <c r="AU13" s="265"/>
      <c r="AV13" s="265"/>
      <c r="AW13" s="79" t="s">
        <v>460</v>
      </c>
      <c r="BK13" s="41"/>
      <c r="BM13" s="2"/>
      <c r="BT13" s="1" t="str">
        <f t="shared" si="0"/>
        <v/>
      </c>
      <c r="BV13" s="227">
        <v>55</v>
      </c>
      <c r="BW13" s="227"/>
      <c r="BX13" s="170">
        <f t="shared" si="1"/>
        <v>1.8312659830792302</v>
      </c>
      <c r="BY13" s="171"/>
      <c r="BZ13" s="172"/>
      <c r="CA13" s="226">
        <f t="shared" si="2"/>
        <v>1.1107678913759262</v>
      </c>
      <c r="CB13" s="226"/>
      <c r="CC13" s="226"/>
      <c r="CD13" s="226">
        <f t="shared" si="3"/>
        <v>105.94023815882449</v>
      </c>
      <c r="CE13" s="226"/>
      <c r="CF13" s="226"/>
      <c r="CG13" s="226">
        <f t="shared" si="4"/>
        <v>38.2007234594629</v>
      </c>
      <c r="CH13" s="226"/>
      <c r="CI13" s="226"/>
    </row>
    <row r="14" spans="2:103">
      <c r="C14" s="218" t="s">
        <v>154</v>
      </c>
      <c r="D14" s="218"/>
      <c r="E14" s="254" t="s">
        <v>2</v>
      </c>
      <c r="F14" s="254" t="s">
        <v>41</v>
      </c>
      <c r="G14" s="10"/>
      <c r="H14" s="15">
        <v>1</v>
      </c>
      <c r="I14" s="10"/>
      <c r="J14" s="254" t="s">
        <v>49</v>
      </c>
      <c r="K14" s="219" t="s">
        <v>51</v>
      </c>
      <c r="L14" s="219"/>
      <c r="M14" s="219"/>
      <c r="N14" s="254" t="s">
        <v>42</v>
      </c>
      <c r="O14" s="254" t="s">
        <v>43</v>
      </c>
      <c r="P14" s="218" t="s">
        <v>34</v>
      </c>
      <c r="V14" s="5"/>
      <c r="AI14" s="6"/>
      <c r="BT14" s="1" t="str">
        <f t="shared" si="0"/>
        <v/>
      </c>
      <c r="BU14" s="13"/>
      <c r="BV14" s="227">
        <v>56</v>
      </c>
      <c r="BW14" s="227"/>
      <c r="BX14" s="170">
        <f t="shared" si="1"/>
        <v>1.6745019527388023</v>
      </c>
      <c r="BY14" s="171"/>
      <c r="BZ14" s="172"/>
      <c r="CA14" s="226">
        <f t="shared" si="2"/>
        <v>1.0156815123169782</v>
      </c>
      <c r="CB14" s="226"/>
      <c r="CC14" s="226"/>
      <c r="CD14" s="226">
        <f t="shared" si="3"/>
        <v>96.871310508523905</v>
      </c>
      <c r="CE14" s="226"/>
      <c r="CF14" s="226"/>
      <c r="CG14" s="226">
        <f t="shared" si="4"/>
        <v>36.820390958439553</v>
      </c>
      <c r="CH14" s="226"/>
      <c r="CI14" s="226"/>
      <c r="CJ14" s="13"/>
      <c r="CK14" s="13"/>
    </row>
    <row r="15" spans="2:103">
      <c r="C15" s="218"/>
      <c r="D15" s="218"/>
      <c r="E15" s="254"/>
      <c r="F15" s="254"/>
      <c r="G15" s="219" t="s">
        <v>61</v>
      </c>
      <c r="H15" s="219"/>
      <c r="I15" s="219"/>
      <c r="J15" s="254"/>
      <c r="K15" s="219"/>
      <c r="L15" s="219"/>
      <c r="M15" s="219"/>
      <c r="N15" s="254"/>
      <c r="O15" s="254"/>
      <c r="P15" s="218"/>
      <c r="V15" s="5"/>
      <c r="AI15" s="6"/>
      <c r="AL15" s="218" t="s">
        <v>154</v>
      </c>
      <c r="AM15" s="218"/>
      <c r="AN15" s="254" t="s">
        <v>2</v>
      </c>
      <c r="AO15" s="254" t="s">
        <v>41</v>
      </c>
      <c r="AP15" s="10"/>
      <c r="AQ15" s="15">
        <v>1</v>
      </c>
      <c r="AR15" s="10"/>
      <c r="AS15" s="254" t="s">
        <v>49</v>
      </c>
      <c r="AT15" s="219" t="s">
        <v>51</v>
      </c>
      <c r="AU15" s="219"/>
      <c r="AV15" s="219"/>
      <c r="AW15" s="254" t="s">
        <v>42</v>
      </c>
      <c r="AX15" s="254" t="s">
        <v>43</v>
      </c>
      <c r="AY15" s="218" t="s">
        <v>34</v>
      </c>
      <c r="BA15" s="254" t="s">
        <v>2</v>
      </c>
      <c r="BB15" s="254" t="s">
        <v>41</v>
      </c>
      <c r="BC15" s="10"/>
      <c r="BD15" s="15">
        <v>1</v>
      </c>
      <c r="BE15" s="10"/>
      <c r="BF15" s="254" t="s">
        <v>49</v>
      </c>
      <c r="BG15" s="219" t="s">
        <v>65</v>
      </c>
      <c r="BH15" s="219"/>
      <c r="BI15" s="220">
        <f>Q28</f>
        <v>-21.8</v>
      </c>
      <c r="BJ15" s="220"/>
      <c r="BK15" s="220"/>
      <c r="BL15" s="254" t="s">
        <v>66</v>
      </c>
      <c r="BM15" s="254"/>
      <c r="BN15" s="216">
        <f>AF3</f>
        <v>6.1</v>
      </c>
      <c r="BO15" s="216"/>
      <c r="BT15" s="1" t="str">
        <f t="shared" si="0"/>
        <v/>
      </c>
      <c r="BV15" s="227">
        <v>57</v>
      </c>
      <c r="BW15" s="227"/>
      <c r="BX15" s="170">
        <f t="shared" si="1"/>
        <v>1.5213863185048146</v>
      </c>
      <c r="BY15" s="171"/>
      <c r="BZ15" s="172"/>
      <c r="CA15" s="226">
        <f t="shared" si="2"/>
        <v>0.92280809483078952</v>
      </c>
      <c r="CB15" s="226"/>
      <c r="CC15" s="226"/>
      <c r="CD15" s="226">
        <f t="shared" si="3"/>
        <v>88.013445563469531</v>
      </c>
      <c r="CE15" s="226"/>
      <c r="CF15" s="226"/>
      <c r="CG15" s="226">
        <f t="shared" si="4"/>
        <v>35.191877048555632</v>
      </c>
      <c r="CH15" s="226"/>
      <c r="CI15" s="226"/>
    </row>
    <row r="16" spans="2:103">
      <c r="V16" s="5"/>
      <c r="AI16" s="6"/>
      <c r="AL16" s="218"/>
      <c r="AM16" s="218"/>
      <c r="AN16" s="254"/>
      <c r="AO16" s="254"/>
      <c r="AP16" s="219" t="s">
        <v>61</v>
      </c>
      <c r="AQ16" s="219"/>
      <c r="AR16" s="219"/>
      <c r="AS16" s="254"/>
      <c r="AT16" s="219"/>
      <c r="AU16" s="219"/>
      <c r="AV16" s="219"/>
      <c r="AW16" s="254"/>
      <c r="AX16" s="254"/>
      <c r="AY16" s="218"/>
      <c r="BA16" s="254"/>
      <c r="BB16" s="254"/>
      <c r="BC16" s="219" t="s">
        <v>61</v>
      </c>
      <c r="BD16" s="219"/>
      <c r="BE16" s="219"/>
      <c r="BF16" s="254"/>
      <c r="BG16" s="219"/>
      <c r="BH16" s="219"/>
      <c r="BI16" s="220"/>
      <c r="BJ16" s="220"/>
      <c r="BK16" s="220"/>
      <c r="BL16" s="254"/>
      <c r="BM16" s="254"/>
      <c r="BN16" s="216"/>
      <c r="BO16" s="216"/>
      <c r="BT16" s="1" t="str">
        <f t="shared" si="0"/>
        <v/>
      </c>
      <c r="BV16" s="227">
        <v>58</v>
      </c>
      <c r="BW16" s="227"/>
      <c r="BX16" s="170">
        <f t="shared" si="1"/>
        <v>1.3717030466468967</v>
      </c>
      <c r="BY16" s="171"/>
      <c r="BZ16" s="172"/>
      <c r="CA16" s="226">
        <f t="shared" si="2"/>
        <v>0.83201660206451122</v>
      </c>
      <c r="CB16" s="226"/>
      <c r="CC16" s="226"/>
      <c r="CD16" s="226">
        <f t="shared" si="3"/>
        <v>79.354145595282517</v>
      </c>
      <c r="CE16" s="226"/>
      <c r="CF16" s="226"/>
      <c r="CG16" s="226">
        <f t="shared" si="4"/>
        <v>33.317337494726658</v>
      </c>
      <c r="CH16" s="226"/>
      <c r="CI16" s="226"/>
      <c r="CJ16" s="13"/>
      <c r="CK16" s="13"/>
    </row>
    <row r="17" spans="3:104">
      <c r="C17" s="218" t="s">
        <v>460</v>
      </c>
      <c r="D17" s="218"/>
      <c r="E17" s="254" t="s">
        <v>2</v>
      </c>
      <c r="F17" s="254" t="s">
        <v>41</v>
      </c>
      <c r="G17" s="10"/>
      <c r="H17" s="15">
        <v>1</v>
      </c>
      <c r="I17" s="10"/>
      <c r="J17" s="254" t="s">
        <v>49</v>
      </c>
      <c r="K17" s="219" t="s">
        <v>51</v>
      </c>
      <c r="L17" s="219"/>
      <c r="M17" s="219"/>
      <c r="N17" s="254" t="s">
        <v>42</v>
      </c>
      <c r="O17" s="254" t="s">
        <v>43</v>
      </c>
      <c r="P17" s="218" t="s">
        <v>457</v>
      </c>
      <c r="V17" s="5"/>
      <c r="AI17" s="6"/>
      <c r="AN17" s="254" t="s">
        <v>2</v>
      </c>
      <c r="AO17" s="254" t="s">
        <v>41</v>
      </c>
      <c r="AP17" s="10"/>
      <c r="AQ17" s="15">
        <v>1</v>
      </c>
      <c r="AR17" s="10"/>
      <c r="AS17" s="254" t="s">
        <v>49</v>
      </c>
      <c r="AT17" s="216">
        <f>ROUND(TAN(BI15*PI()/180),2)</f>
        <v>-0.4</v>
      </c>
      <c r="AU17" s="216"/>
      <c r="AV17" s="216"/>
      <c r="AW17" s="254" t="s">
        <v>66</v>
      </c>
      <c r="AX17" s="254"/>
      <c r="AY17" s="266">
        <f>BN15</f>
        <v>6.1</v>
      </c>
      <c r="AZ17" s="266"/>
      <c r="BA17" s="266"/>
      <c r="CD17" s="13"/>
    </row>
    <row r="18" spans="3:104">
      <c r="C18" s="218"/>
      <c r="D18" s="218"/>
      <c r="E18" s="254"/>
      <c r="F18" s="254"/>
      <c r="G18" s="219" t="s">
        <v>61</v>
      </c>
      <c r="H18" s="219"/>
      <c r="I18" s="219"/>
      <c r="J18" s="254"/>
      <c r="K18" s="219"/>
      <c r="L18" s="219"/>
      <c r="M18" s="219"/>
      <c r="N18" s="254"/>
      <c r="O18" s="254"/>
      <c r="P18" s="218"/>
      <c r="V18" s="5"/>
      <c r="AI18" s="6"/>
      <c r="AN18" s="254"/>
      <c r="AO18" s="254"/>
      <c r="AP18" s="219" t="s">
        <v>61</v>
      </c>
      <c r="AQ18" s="219"/>
      <c r="AR18" s="219"/>
      <c r="AS18" s="254"/>
      <c r="AT18" s="216"/>
      <c r="AU18" s="216"/>
      <c r="AV18" s="216"/>
      <c r="AW18" s="254"/>
      <c r="AX18" s="254"/>
      <c r="AY18" s="266"/>
      <c r="AZ18" s="266"/>
      <c r="BA18" s="266"/>
      <c r="BU18" s="13" t="s">
        <v>69</v>
      </c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34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40"/>
    </row>
    <row r="19" spans="3:104">
      <c r="V19" s="5"/>
      <c r="AI19" s="6"/>
      <c r="AN19" s="254" t="s">
        <v>2</v>
      </c>
      <c r="AO19" s="258">
        <f>AQ17*AY17</f>
        <v>6.1</v>
      </c>
      <c r="AP19" s="258"/>
      <c r="AQ19" s="258"/>
      <c r="AR19" s="254" t="s">
        <v>49</v>
      </c>
      <c r="AS19" s="216">
        <f>AT17*AY17</f>
        <v>-2.44</v>
      </c>
      <c r="AT19" s="216"/>
      <c r="AU19" s="216"/>
      <c r="BU19" s="259" t="s">
        <v>70</v>
      </c>
      <c r="BV19" s="259"/>
      <c r="BW19" s="14" t="s">
        <v>2</v>
      </c>
      <c r="BX19" s="260" t="s">
        <v>307</v>
      </c>
      <c r="BY19" s="260"/>
      <c r="BZ19" s="261" t="s">
        <v>78</v>
      </c>
      <c r="CA19" s="261"/>
      <c r="CB19" s="261"/>
      <c r="CC19" s="261"/>
      <c r="CL19" s="5"/>
      <c r="CZ19" s="6"/>
    </row>
    <row r="20" spans="3:104">
      <c r="C20" t="s">
        <v>52</v>
      </c>
      <c r="M20" s="4"/>
      <c r="N20" s="4"/>
      <c r="V20" s="5"/>
      <c r="AI20" s="6"/>
      <c r="AN20" s="254"/>
      <c r="AO20" s="219" t="s">
        <v>61</v>
      </c>
      <c r="AP20" s="219"/>
      <c r="AQ20" s="219"/>
      <c r="AR20" s="254"/>
      <c r="AS20" s="216"/>
      <c r="AT20" s="216"/>
      <c r="AU20" s="216"/>
      <c r="BW20" s="14" t="s">
        <v>2</v>
      </c>
      <c r="BX20" s="262">
        <f>CV11</f>
        <v>41.238851122960298</v>
      </c>
      <c r="BY20" s="262"/>
      <c r="BZ20" s="262"/>
      <c r="CA20" s="261" t="s">
        <v>71</v>
      </c>
      <c r="CB20" s="261"/>
      <c r="CC20" s="261"/>
      <c r="CD20" s="263">
        <f>Q28</f>
        <v>-21.8</v>
      </c>
      <c r="CE20" s="263"/>
      <c r="CF20" s="263"/>
      <c r="CG20" s="14" t="s">
        <v>72</v>
      </c>
      <c r="CH20" s="263">
        <f>O30</f>
        <v>23.333333333333332</v>
      </c>
      <c r="CI20" s="263"/>
      <c r="CJ20" s="263"/>
      <c r="CK20" s="13" t="s">
        <v>73</v>
      </c>
      <c r="CL20" s="5"/>
      <c r="CZ20" s="6"/>
    </row>
    <row r="21" spans="3:104">
      <c r="C21" s="218" t="s">
        <v>46</v>
      </c>
      <c r="D21" s="218"/>
      <c r="E21" t="s">
        <v>53</v>
      </c>
      <c r="V21" s="5"/>
      <c r="AI21" s="6"/>
      <c r="BW21" s="14" t="s">
        <v>2</v>
      </c>
      <c r="BX21" s="262">
        <f>BX20*COS((CD20+CH20)*PI()/180)</f>
        <v>41.224084590267331</v>
      </c>
      <c r="BY21" s="262"/>
      <c r="BZ21" s="262"/>
      <c r="CA21" s="19" t="s">
        <v>74</v>
      </c>
      <c r="CB21" s="13"/>
      <c r="CL21" s="5"/>
      <c r="CZ21" s="6"/>
    </row>
    <row r="22" spans="3:104">
      <c r="C22" s="218" t="s">
        <v>47</v>
      </c>
      <c r="D22" s="218"/>
      <c r="E22" t="s">
        <v>54</v>
      </c>
      <c r="V22" s="5"/>
      <c r="AI22" s="6"/>
      <c r="AL22" s="218" t="s">
        <v>460</v>
      </c>
      <c r="AM22" s="218"/>
      <c r="AN22" s="254" t="s">
        <v>2</v>
      </c>
      <c r="AO22" s="254" t="s">
        <v>41</v>
      </c>
      <c r="AP22" s="10"/>
      <c r="AQ22" s="15">
        <v>1</v>
      </c>
      <c r="AR22" s="10"/>
      <c r="AS22" s="254" t="s">
        <v>49</v>
      </c>
      <c r="AT22" s="219" t="s">
        <v>51</v>
      </c>
      <c r="AU22" s="219"/>
      <c r="AV22" s="219"/>
      <c r="AW22" s="254" t="s">
        <v>42</v>
      </c>
      <c r="AX22" s="254" t="s">
        <v>43</v>
      </c>
      <c r="AY22" s="218" t="s">
        <v>457</v>
      </c>
      <c r="BA22" s="254" t="s">
        <v>2</v>
      </c>
      <c r="BB22" s="254" t="s">
        <v>41</v>
      </c>
      <c r="BC22" s="10"/>
      <c r="BD22" s="15">
        <v>1</v>
      </c>
      <c r="BE22" s="10"/>
      <c r="BF22" s="254" t="s">
        <v>49</v>
      </c>
      <c r="BG22" s="219" t="s">
        <v>65</v>
      </c>
      <c r="BH22" s="219"/>
      <c r="BI22" s="220">
        <f>Q28</f>
        <v>-21.8</v>
      </c>
      <c r="BJ22" s="220"/>
      <c r="BK22" s="220"/>
      <c r="BL22" s="254" t="s">
        <v>66</v>
      </c>
      <c r="BM22" s="254"/>
      <c r="BN22" s="216">
        <f>AQ9</f>
        <v>3.7</v>
      </c>
      <c r="BO22" s="216"/>
      <c r="CL22" s="5"/>
      <c r="CZ22" s="6"/>
    </row>
    <row r="23" spans="3:104">
      <c r="C23" s="260" t="s">
        <v>154</v>
      </c>
      <c r="D23" s="260"/>
      <c r="E23" s="13" t="s">
        <v>155</v>
      </c>
      <c r="F23" s="13"/>
      <c r="V23" s="5"/>
      <c r="AI23" s="6"/>
      <c r="AL23" s="218"/>
      <c r="AM23" s="218"/>
      <c r="AN23" s="254"/>
      <c r="AO23" s="254"/>
      <c r="AP23" s="219" t="s">
        <v>61</v>
      </c>
      <c r="AQ23" s="219"/>
      <c r="AR23" s="219"/>
      <c r="AS23" s="254"/>
      <c r="AT23" s="219"/>
      <c r="AU23" s="219"/>
      <c r="AV23" s="219"/>
      <c r="AW23" s="254"/>
      <c r="AX23" s="254"/>
      <c r="AY23" s="218"/>
      <c r="BA23" s="254"/>
      <c r="BB23" s="254"/>
      <c r="BC23" s="219" t="s">
        <v>61</v>
      </c>
      <c r="BD23" s="219"/>
      <c r="BE23" s="219"/>
      <c r="BF23" s="254"/>
      <c r="BG23" s="219"/>
      <c r="BH23" s="219"/>
      <c r="BI23" s="220"/>
      <c r="BJ23" s="220"/>
      <c r="BK23" s="220"/>
      <c r="BL23" s="254"/>
      <c r="BM23" s="254"/>
      <c r="BN23" s="216"/>
      <c r="BO23" s="216"/>
      <c r="BU23" s="13" t="s">
        <v>75</v>
      </c>
      <c r="BV23" s="13"/>
      <c r="BW23" s="13"/>
      <c r="BX23" s="13"/>
      <c r="BY23" s="13"/>
      <c r="BZ23" s="13"/>
      <c r="CA23" s="13"/>
      <c r="CB23" s="13"/>
      <c r="CC23" s="13"/>
      <c r="CL23" s="5"/>
      <c r="CZ23" s="6"/>
    </row>
    <row r="24" spans="3:104">
      <c r="C24" s="260" t="s">
        <v>460</v>
      </c>
      <c r="D24" s="260"/>
      <c r="E24" s="114" t="s">
        <v>462</v>
      </c>
      <c r="V24" s="7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8"/>
      <c r="AN24" s="254" t="s">
        <v>2</v>
      </c>
      <c r="AO24" s="254" t="s">
        <v>41</v>
      </c>
      <c r="AP24" s="10"/>
      <c r="AQ24" s="15">
        <v>1</v>
      </c>
      <c r="AR24" s="10"/>
      <c r="AS24" s="254" t="s">
        <v>49</v>
      </c>
      <c r="AT24" s="216">
        <f>ROUND(TAN(BI22*PI()/180),2)</f>
        <v>-0.4</v>
      </c>
      <c r="AU24" s="216"/>
      <c r="AV24" s="216"/>
      <c r="AW24" s="254" t="s">
        <v>66</v>
      </c>
      <c r="AX24" s="254"/>
      <c r="AY24" s="266">
        <f>BN22</f>
        <v>3.7</v>
      </c>
      <c r="AZ24" s="266"/>
      <c r="BA24" s="266"/>
      <c r="BU24" s="259" t="s">
        <v>76</v>
      </c>
      <c r="BV24" s="259"/>
      <c r="BW24" s="14" t="s">
        <v>2</v>
      </c>
      <c r="BX24" s="260" t="s">
        <v>307</v>
      </c>
      <c r="BY24" s="260"/>
      <c r="BZ24" s="261" t="s">
        <v>79</v>
      </c>
      <c r="CA24" s="261"/>
      <c r="CB24" s="261"/>
      <c r="CC24" s="261"/>
      <c r="CL24" s="5"/>
      <c r="CZ24" s="6"/>
    </row>
    <row r="25" spans="3:104">
      <c r="C25" s="219" t="s">
        <v>67</v>
      </c>
      <c r="D25" s="219"/>
      <c r="E25" t="s">
        <v>56</v>
      </c>
      <c r="AI25" s="1"/>
      <c r="AN25" s="254"/>
      <c r="AO25" s="254"/>
      <c r="AP25" s="219" t="s">
        <v>61</v>
      </c>
      <c r="AQ25" s="219"/>
      <c r="AR25" s="219"/>
      <c r="AS25" s="254"/>
      <c r="AT25" s="216"/>
      <c r="AU25" s="216"/>
      <c r="AV25" s="216"/>
      <c r="AW25" s="254"/>
      <c r="AX25" s="254"/>
      <c r="AY25" s="266"/>
      <c r="AZ25" s="266"/>
      <c r="BA25" s="266"/>
      <c r="BW25" s="14" t="s">
        <v>2</v>
      </c>
      <c r="BX25" s="262">
        <f>CV11</f>
        <v>41.238851122960298</v>
      </c>
      <c r="BY25" s="262"/>
      <c r="BZ25" s="262"/>
      <c r="CA25" s="261" t="s">
        <v>77</v>
      </c>
      <c r="CB25" s="261"/>
      <c r="CC25" s="261"/>
      <c r="CD25" s="268">
        <f>Q28</f>
        <v>-21.8</v>
      </c>
      <c r="CE25" s="268"/>
      <c r="CF25" s="268"/>
      <c r="CG25" s="14" t="s">
        <v>72</v>
      </c>
      <c r="CH25" s="263">
        <f>O30</f>
        <v>23.333333333333332</v>
      </c>
      <c r="CI25" s="263"/>
      <c r="CJ25" s="263"/>
      <c r="CK25" s="13" t="s">
        <v>73</v>
      </c>
      <c r="CL25" s="5"/>
      <c r="CZ25" s="6"/>
    </row>
    <row r="26" spans="3:104">
      <c r="C26" s="219" t="s">
        <v>16</v>
      </c>
      <c r="D26" s="219"/>
      <c r="E26" t="s">
        <v>57</v>
      </c>
      <c r="P26" s="16" t="s">
        <v>16</v>
      </c>
      <c r="Q26" t="s">
        <v>2</v>
      </c>
      <c r="R26" s="141">
        <f>'1.設計条件'!T24</f>
        <v>35</v>
      </c>
      <c r="S26" s="141"/>
      <c r="T26" t="s">
        <v>18</v>
      </c>
      <c r="AN26" s="254" t="s">
        <v>2</v>
      </c>
      <c r="AO26" s="258">
        <f>AQ24*AY24</f>
        <v>3.7</v>
      </c>
      <c r="AP26" s="258"/>
      <c r="AQ26" s="258"/>
      <c r="AR26" s="254" t="s">
        <v>49</v>
      </c>
      <c r="AS26" s="216">
        <f>AT24*AY24</f>
        <v>-1.4800000000000002</v>
      </c>
      <c r="AT26" s="216"/>
      <c r="AU26" s="216"/>
      <c r="BW26" s="14" t="s">
        <v>2</v>
      </c>
      <c r="BX26" s="262">
        <f>BX25*SIN((CD25+CH25)*PI()/180)</f>
        <v>1.1034906597554093</v>
      </c>
      <c r="BY26" s="262"/>
      <c r="BZ26" s="262"/>
      <c r="CA26" s="19" t="s">
        <v>74</v>
      </c>
      <c r="CB26" s="13"/>
      <c r="CL26" s="5"/>
      <c r="CZ26" s="6"/>
    </row>
    <row r="27" spans="3:104">
      <c r="C27" s="219" t="s">
        <v>55</v>
      </c>
      <c r="D27" s="219"/>
      <c r="E27" t="s">
        <v>58</v>
      </c>
      <c r="AN27" s="254"/>
      <c r="AO27" s="219" t="s">
        <v>61</v>
      </c>
      <c r="AP27" s="219"/>
      <c r="AQ27" s="219"/>
      <c r="AR27" s="254"/>
      <c r="AS27" s="216"/>
      <c r="AT27" s="216"/>
      <c r="AU27" s="216"/>
      <c r="CL27" s="5"/>
      <c r="CZ27" s="6"/>
    </row>
    <row r="28" spans="3:104">
      <c r="E28" s="16" t="s">
        <v>55</v>
      </c>
      <c r="F28" t="s">
        <v>2</v>
      </c>
      <c r="G28" s="219" t="s">
        <v>85</v>
      </c>
      <c r="H28" s="219"/>
      <c r="I28" s="2" t="s">
        <v>233</v>
      </c>
      <c r="K28" t="s">
        <v>2</v>
      </c>
      <c r="L28" s="219" t="s">
        <v>85</v>
      </c>
      <c r="M28" s="219"/>
      <c r="N28" s="269">
        <f>AF8</f>
        <v>0.4</v>
      </c>
      <c r="O28" s="269"/>
      <c r="P28" t="s">
        <v>2</v>
      </c>
      <c r="Q28" s="220">
        <f>-ROUND(ATAN(N28)*180/PI(),2)</f>
        <v>-21.8</v>
      </c>
      <c r="R28" s="220"/>
      <c r="S28" s="220"/>
      <c r="T28" t="s">
        <v>18</v>
      </c>
      <c r="BU28" s="13" t="s">
        <v>87</v>
      </c>
      <c r="BV28" s="13"/>
      <c r="BW28" s="13"/>
      <c r="BX28" s="13"/>
      <c r="BY28" s="13"/>
      <c r="BZ28" s="13"/>
      <c r="CA28" s="13"/>
      <c r="CB28" s="13"/>
      <c r="CL28" s="5"/>
      <c r="CZ28" s="6"/>
    </row>
    <row r="29" spans="3:104">
      <c r="C29" s="219" t="s">
        <v>59</v>
      </c>
      <c r="D29" s="219"/>
      <c r="E29" t="s">
        <v>60</v>
      </c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R29" s="1"/>
      <c r="BS29" s="1"/>
      <c r="BU29" s="259" t="s">
        <v>88</v>
      </c>
      <c r="BV29" s="259"/>
      <c r="BW29" s="14" t="s">
        <v>2</v>
      </c>
      <c r="BX29" s="20" t="s">
        <v>89</v>
      </c>
      <c r="BY29" s="13" t="s">
        <v>90</v>
      </c>
      <c r="BZ29" s="19">
        <v>3</v>
      </c>
      <c r="CE29" s="13"/>
      <c r="CF29" s="2"/>
      <c r="CL29" s="5"/>
      <c r="CZ29" s="6"/>
    </row>
    <row r="30" spans="3:104">
      <c r="E30" s="219" t="s">
        <v>59</v>
      </c>
      <c r="F30" s="254" t="s">
        <v>2</v>
      </c>
      <c r="G30" s="15">
        <v>2</v>
      </c>
      <c r="H30" s="219" t="s">
        <v>16</v>
      </c>
      <c r="J30" s="254" t="s">
        <v>2</v>
      </c>
      <c r="K30" s="15">
        <v>2</v>
      </c>
      <c r="L30" s="141">
        <f>R26</f>
        <v>35</v>
      </c>
      <c r="M30" s="141"/>
      <c r="N30" s="254" t="s">
        <v>2</v>
      </c>
      <c r="O30" s="220">
        <f>K30/K31*L30</f>
        <v>23.333333333333332</v>
      </c>
      <c r="P30" s="220"/>
      <c r="Q30" s="254" t="s">
        <v>18</v>
      </c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W30" s="14" t="s">
        <v>2</v>
      </c>
      <c r="BX30" s="262">
        <f>AF3</f>
        <v>6.1</v>
      </c>
      <c r="BY30" s="262"/>
      <c r="BZ30" s="13" t="s">
        <v>90</v>
      </c>
      <c r="CA30" s="19">
        <v>3</v>
      </c>
      <c r="CG30" s="13"/>
      <c r="CH30" s="262"/>
      <c r="CI30" s="262"/>
      <c r="CL30" s="5"/>
      <c r="CZ30" s="6"/>
    </row>
    <row r="31" spans="3:104">
      <c r="E31" s="219"/>
      <c r="F31" s="254"/>
      <c r="G31" s="12">
        <v>3</v>
      </c>
      <c r="H31" s="219"/>
      <c r="J31" s="254"/>
      <c r="K31" s="12">
        <v>3</v>
      </c>
      <c r="L31" s="141"/>
      <c r="M31" s="141"/>
      <c r="N31" s="254"/>
      <c r="O31" s="220"/>
      <c r="P31" s="220"/>
      <c r="Q31" s="254"/>
      <c r="AN31" s="4"/>
      <c r="BD31" s="41"/>
      <c r="BW31" s="14" t="s">
        <v>2</v>
      </c>
      <c r="BX31" s="262">
        <f>BX30/CA30</f>
        <v>2.0333333333333332</v>
      </c>
      <c r="BY31" s="262"/>
      <c r="BZ31" s="262"/>
      <c r="CA31" s="19" t="s">
        <v>91</v>
      </c>
      <c r="CB31" s="19"/>
      <c r="CL31" s="5"/>
      <c r="CZ31" s="6"/>
    </row>
    <row r="32" spans="3:104">
      <c r="CL32" s="7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8"/>
    </row>
    <row r="33" spans="28:105">
      <c r="BU33" s="259" t="s">
        <v>92</v>
      </c>
      <c r="BV33" s="259"/>
      <c r="BW33" s="14" t="s">
        <v>2</v>
      </c>
      <c r="BX33" s="31" t="s">
        <v>35</v>
      </c>
      <c r="BY33" t="s">
        <v>82</v>
      </c>
      <c r="BZ33" s="267" t="s">
        <v>230</v>
      </c>
      <c r="CA33" s="267"/>
      <c r="CB33" t="s">
        <v>43</v>
      </c>
      <c r="CC33" s="267" t="s">
        <v>233</v>
      </c>
      <c r="CD33" s="267"/>
      <c r="CE33" t="s">
        <v>82</v>
      </c>
      <c r="CF33" s="218" t="s">
        <v>285</v>
      </c>
      <c r="CG33" s="218"/>
      <c r="CH33" t="s">
        <v>49</v>
      </c>
      <c r="CI33" s="267" t="s">
        <v>93</v>
      </c>
      <c r="CJ33" s="267"/>
      <c r="CK33" t="s">
        <v>43</v>
      </c>
      <c r="CL33" s="267" t="s">
        <v>233</v>
      </c>
      <c r="CM33" s="267"/>
    </row>
    <row r="34" spans="28:105">
      <c r="BW34" s="14" t="s">
        <v>2</v>
      </c>
      <c r="BX34" s="216">
        <f>AF5</f>
        <v>1.3</v>
      </c>
      <c r="BY34" s="141"/>
      <c r="BZ34" s="141"/>
      <c r="CA34" t="s">
        <v>82</v>
      </c>
      <c r="CB34" s="216">
        <f>AF6</f>
        <v>0.3</v>
      </c>
      <c r="CC34" s="141"/>
      <c r="CD34" s="141"/>
      <c r="CE34" t="s">
        <v>43</v>
      </c>
      <c r="CF34" s="220">
        <f>AF8</f>
        <v>0.4</v>
      </c>
      <c r="CG34" s="220"/>
      <c r="CH34" s="220"/>
      <c r="CI34" t="s">
        <v>82</v>
      </c>
      <c r="CJ34" s="216">
        <f>AF7</f>
        <v>0.1</v>
      </c>
      <c r="CK34" s="141"/>
      <c r="CL34" s="141"/>
      <c r="CM34" t="s">
        <v>49</v>
      </c>
      <c r="CN34" s="216">
        <f>BX31</f>
        <v>2.0333333333333332</v>
      </c>
      <c r="CO34" s="141"/>
      <c r="CP34" s="141"/>
      <c r="CQ34" t="s">
        <v>43</v>
      </c>
      <c r="CR34" s="220">
        <f>AF8</f>
        <v>0.4</v>
      </c>
      <c r="CS34" s="220"/>
      <c r="CT34" s="220"/>
    </row>
    <row r="35" spans="28:105">
      <c r="BW35" s="14" t="s">
        <v>2</v>
      </c>
      <c r="BX35" s="216">
        <f>BX34-CB34*CF34-CJ34+CN34*CR34</f>
        <v>1.8933333333333335</v>
      </c>
      <c r="BY35" s="216"/>
      <c r="BZ35" s="216"/>
      <c r="CA35" s="19" t="s">
        <v>91</v>
      </c>
    </row>
    <row r="38" spans="28:105">
      <c r="AI38">
        <f>'2.浮力'!BR38+1</f>
        <v>8</v>
      </c>
      <c r="BR38">
        <f>AI38+1</f>
        <v>9</v>
      </c>
      <c r="DA38">
        <f>BR38+1</f>
        <v>10</v>
      </c>
    </row>
    <row r="41" spans="28:105">
      <c r="AB41" s="4"/>
    </row>
    <row r="42" spans="28:105">
      <c r="AB42" s="4"/>
    </row>
  </sheetData>
  <sheetProtection sheet="1" objects="1" scenarios="1"/>
  <mergeCells count="288">
    <mergeCell ref="AP25:AR25"/>
    <mergeCell ref="BF22:BF23"/>
    <mergeCell ref="BG22:BH23"/>
    <mergeCell ref="BI22:BK23"/>
    <mergeCell ref="BL22:BM23"/>
    <mergeCell ref="BN22:BO23"/>
    <mergeCell ref="AP23:AR23"/>
    <mergeCell ref="BC23:BE23"/>
    <mergeCell ref="CA13:CC13"/>
    <mergeCell ref="CA14:CC14"/>
    <mergeCell ref="CA15:CC15"/>
    <mergeCell ref="CA16:CC16"/>
    <mergeCell ref="AO13:AQ13"/>
    <mergeCell ref="BV13:BW13"/>
    <mergeCell ref="BX13:BZ13"/>
    <mergeCell ref="E30:E31"/>
    <mergeCell ref="F30:F31"/>
    <mergeCell ref="H30:H31"/>
    <mergeCell ref="J30:J31"/>
    <mergeCell ref="L30:M31"/>
    <mergeCell ref="O17:O18"/>
    <mergeCell ref="P17:P18"/>
    <mergeCell ref="G18:I18"/>
    <mergeCell ref="O7:O8"/>
    <mergeCell ref="J9:J10"/>
    <mergeCell ref="K9:L10"/>
    <mergeCell ref="M9:M10"/>
    <mergeCell ref="N9:O10"/>
    <mergeCell ref="N28:O28"/>
    <mergeCell ref="BX35:BZ35"/>
    <mergeCell ref="AN19:AN20"/>
    <mergeCell ref="AO19:AQ19"/>
    <mergeCell ref="AR19:AR20"/>
    <mergeCell ref="AS19:AU20"/>
    <mergeCell ref="AO20:AQ20"/>
    <mergeCell ref="AN22:AN23"/>
    <mergeCell ref="AO22:AO23"/>
    <mergeCell ref="AS22:AS23"/>
    <mergeCell ref="AT22:AV23"/>
    <mergeCell ref="BX34:BZ34"/>
    <mergeCell ref="BX26:BZ26"/>
    <mergeCell ref="AN26:AN27"/>
    <mergeCell ref="AO26:AQ26"/>
    <mergeCell ref="AR26:AR27"/>
    <mergeCell ref="AS26:AU27"/>
    <mergeCell ref="AO27:AQ27"/>
    <mergeCell ref="BX25:BZ25"/>
    <mergeCell ref="AN24:AN25"/>
    <mergeCell ref="AO24:AO25"/>
    <mergeCell ref="AS24:AS25"/>
    <mergeCell ref="AT24:AV25"/>
    <mergeCell ref="AW24:AX25"/>
    <mergeCell ref="AY24:BA25"/>
    <mergeCell ref="CB34:CD34"/>
    <mergeCell ref="CF34:CH34"/>
    <mergeCell ref="CJ34:CL34"/>
    <mergeCell ref="CN34:CP34"/>
    <mergeCell ref="CR34:CT34"/>
    <mergeCell ref="AN17:AN18"/>
    <mergeCell ref="AO17:AO18"/>
    <mergeCell ref="AS17:AS18"/>
    <mergeCell ref="AT17:AV18"/>
    <mergeCell ref="AW17:AX18"/>
    <mergeCell ref="AY17:BA18"/>
    <mergeCell ref="AP18:AR18"/>
    <mergeCell ref="BU33:BV33"/>
    <mergeCell ref="BZ33:CA33"/>
    <mergeCell ref="CC33:CD33"/>
    <mergeCell ref="CF33:CG33"/>
    <mergeCell ref="CI33:CJ33"/>
    <mergeCell ref="CL33:CM33"/>
    <mergeCell ref="BU29:BV29"/>
    <mergeCell ref="BX30:BY30"/>
    <mergeCell ref="CH30:CI30"/>
    <mergeCell ref="BX31:BZ31"/>
    <mergeCell ref="CD25:CF25"/>
    <mergeCell ref="CH25:CJ25"/>
    <mergeCell ref="AQ4:AT4"/>
    <mergeCell ref="AV4:AV5"/>
    <mergeCell ref="AY4:AZ4"/>
    <mergeCell ref="BI4:BI5"/>
    <mergeCell ref="BL4:BM4"/>
    <mergeCell ref="BX21:BZ21"/>
    <mergeCell ref="BU24:BV24"/>
    <mergeCell ref="BX24:BY24"/>
    <mergeCell ref="BZ24:CC24"/>
    <mergeCell ref="BI9:BI10"/>
    <mergeCell ref="BV14:BW14"/>
    <mergeCell ref="BX14:BZ14"/>
    <mergeCell ref="BX10:BZ10"/>
    <mergeCell ref="BB7:BB8"/>
    <mergeCell ref="BC7:BD8"/>
    <mergeCell ref="BE9:BE10"/>
    <mergeCell ref="AO12:AQ12"/>
    <mergeCell ref="AT13:AV13"/>
    <mergeCell ref="AU9:AU10"/>
    <mergeCell ref="AY9:AY10"/>
    <mergeCell ref="AZ9:BA10"/>
    <mergeCell ref="BB9:BB10"/>
    <mergeCell ref="CA6:CC6"/>
    <mergeCell ref="CA7:CC7"/>
    <mergeCell ref="C25:D25"/>
    <mergeCell ref="CA25:CC25"/>
    <mergeCell ref="CD20:CF20"/>
    <mergeCell ref="CH20:CJ20"/>
    <mergeCell ref="BV15:BW15"/>
    <mergeCell ref="AL15:AM16"/>
    <mergeCell ref="AN15:AN16"/>
    <mergeCell ref="AO15:AO16"/>
    <mergeCell ref="AS15:AS16"/>
    <mergeCell ref="AT15:AV16"/>
    <mergeCell ref="BV16:BW16"/>
    <mergeCell ref="BX16:BZ16"/>
    <mergeCell ref="CD16:CF16"/>
    <mergeCell ref="CG16:CI16"/>
    <mergeCell ref="AY22:AY23"/>
    <mergeCell ref="BG15:BH16"/>
    <mergeCell ref="BI15:BK16"/>
    <mergeCell ref="BL15:BM16"/>
    <mergeCell ref="BN15:BO16"/>
    <mergeCell ref="AP16:AR16"/>
    <mergeCell ref="BC16:BE16"/>
    <mergeCell ref="AW15:AW16"/>
    <mergeCell ref="AX15:AX16"/>
    <mergeCell ref="AY15:AY16"/>
    <mergeCell ref="C21:D21"/>
    <mergeCell ref="N30:N31"/>
    <mergeCell ref="O30:P31"/>
    <mergeCell ref="Q30:Q31"/>
    <mergeCell ref="BU19:BV19"/>
    <mergeCell ref="BX19:BY19"/>
    <mergeCell ref="BZ19:CC19"/>
    <mergeCell ref="C29:D29"/>
    <mergeCell ref="BX20:BZ20"/>
    <mergeCell ref="CA20:CC20"/>
    <mergeCell ref="C24:D24"/>
    <mergeCell ref="AL22:AM23"/>
    <mergeCell ref="BA22:BA23"/>
    <mergeCell ref="BB22:BB23"/>
    <mergeCell ref="C26:D26"/>
    <mergeCell ref="R26:S26"/>
    <mergeCell ref="C27:D27"/>
    <mergeCell ref="G28:H28"/>
    <mergeCell ref="L28:M28"/>
    <mergeCell ref="C22:D22"/>
    <mergeCell ref="Q28:S28"/>
    <mergeCell ref="C23:D23"/>
    <mergeCell ref="AW22:AW23"/>
    <mergeCell ref="AX22:AX23"/>
    <mergeCell ref="CG14:CI14"/>
    <mergeCell ref="C14:D15"/>
    <mergeCell ref="E14:E15"/>
    <mergeCell ref="F14:F15"/>
    <mergeCell ref="J14:J15"/>
    <mergeCell ref="K14:M15"/>
    <mergeCell ref="N14:N15"/>
    <mergeCell ref="G15:I15"/>
    <mergeCell ref="BX15:BZ15"/>
    <mergeCell ref="CD15:CF15"/>
    <mergeCell ref="CG15:CI15"/>
    <mergeCell ref="BA15:BA16"/>
    <mergeCell ref="BB15:BB16"/>
    <mergeCell ref="BF15:BF16"/>
    <mergeCell ref="CD13:CF13"/>
    <mergeCell ref="CG13:CI13"/>
    <mergeCell ref="AS9:AS10"/>
    <mergeCell ref="AT9:AT10"/>
    <mergeCell ref="CA12:CC12"/>
    <mergeCell ref="CG9:CI9"/>
    <mergeCell ref="CS9:CT9"/>
    <mergeCell ref="C17:D18"/>
    <mergeCell ref="E17:E18"/>
    <mergeCell ref="F17:F18"/>
    <mergeCell ref="J17:J18"/>
    <mergeCell ref="K17:M18"/>
    <mergeCell ref="N17:N18"/>
    <mergeCell ref="O14:O15"/>
    <mergeCell ref="P14:P15"/>
    <mergeCell ref="BV10:BW10"/>
    <mergeCell ref="AN9:AN10"/>
    <mergeCell ref="AQ9:AR9"/>
    <mergeCell ref="H11:H12"/>
    <mergeCell ref="I11:I12"/>
    <mergeCell ref="BJ9:BJ10"/>
    <mergeCell ref="BK9:BK10"/>
    <mergeCell ref="BH9:BH10"/>
    <mergeCell ref="CD14:CF14"/>
    <mergeCell ref="CV9:CX9"/>
    <mergeCell ref="CG7:CI7"/>
    <mergeCell ref="CS7:CT7"/>
    <mergeCell ref="CV7:CX7"/>
    <mergeCell ref="CS11:CT11"/>
    <mergeCell ref="CV11:CX11"/>
    <mergeCell ref="BV12:BW12"/>
    <mergeCell ref="BX12:BZ12"/>
    <mergeCell ref="CD12:CF12"/>
    <mergeCell ref="CG12:CI12"/>
    <mergeCell ref="CD10:CF10"/>
    <mergeCell ref="CG10:CI10"/>
    <mergeCell ref="BV11:BW11"/>
    <mergeCell ref="BX11:BZ11"/>
    <mergeCell ref="CD11:CF11"/>
    <mergeCell ref="CG11:CI11"/>
    <mergeCell ref="CA8:CC8"/>
    <mergeCell ref="CA9:CC9"/>
    <mergeCell ref="CA10:CC10"/>
    <mergeCell ref="CA11:CC11"/>
    <mergeCell ref="AF7:AH7"/>
    <mergeCell ref="BV7:BW7"/>
    <mergeCell ref="BX7:BZ7"/>
    <mergeCell ref="CD7:CF7"/>
    <mergeCell ref="P9:P10"/>
    <mergeCell ref="AR7:AR8"/>
    <mergeCell ref="AS7:AT8"/>
    <mergeCell ref="BV9:BW9"/>
    <mergeCell ref="BX9:BZ9"/>
    <mergeCell ref="CD9:CF9"/>
    <mergeCell ref="BE7:BE8"/>
    <mergeCell ref="BH7:BH8"/>
    <mergeCell ref="BI7:BI8"/>
    <mergeCell ref="BJ7:BJ8"/>
    <mergeCell ref="BK7:BK8"/>
    <mergeCell ref="AU7:AU8"/>
    <mergeCell ref="AY7:AY8"/>
    <mergeCell ref="AZ7:BA8"/>
    <mergeCell ref="AN7:AN8"/>
    <mergeCell ref="BC9:BD10"/>
    <mergeCell ref="Q9:Q10"/>
    <mergeCell ref="R9:S10"/>
    <mergeCell ref="C7:D8"/>
    <mergeCell ref="E7:E8"/>
    <mergeCell ref="I7:I8"/>
    <mergeCell ref="J7:K8"/>
    <mergeCell ref="F11:F12"/>
    <mergeCell ref="G11:G12"/>
    <mergeCell ref="F9:F10"/>
    <mergeCell ref="CS5:CT5"/>
    <mergeCell ref="CV5:CX5"/>
    <mergeCell ref="AF6:AH6"/>
    <mergeCell ref="BV6:BW6"/>
    <mergeCell ref="BX6:BZ6"/>
    <mergeCell ref="CD6:CF6"/>
    <mergeCell ref="CG6:CI6"/>
    <mergeCell ref="BF7:BG8"/>
    <mergeCell ref="BF9:BF10"/>
    <mergeCell ref="AV12:AX12"/>
    <mergeCell ref="BA12:BC12"/>
    <mergeCell ref="AF8:AH8"/>
    <mergeCell ref="BV8:BW8"/>
    <mergeCell ref="BX8:BZ8"/>
    <mergeCell ref="CD8:CF8"/>
    <mergeCell ref="CG8:CI8"/>
    <mergeCell ref="AL7:AM8"/>
    <mergeCell ref="CD4:CF4"/>
    <mergeCell ref="CG4:CI4"/>
    <mergeCell ref="F5:K5"/>
    <mergeCell ref="AF5:AH5"/>
    <mergeCell ref="BV5:BW5"/>
    <mergeCell ref="BX5:BZ5"/>
    <mergeCell ref="CD5:CF5"/>
    <mergeCell ref="CG5:CI5"/>
    <mergeCell ref="C4:D5"/>
    <mergeCell ref="E4:E5"/>
    <mergeCell ref="H4:K4"/>
    <mergeCell ref="AF4:AH4"/>
    <mergeCell ref="BV4:BW4"/>
    <mergeCell ref="BX4:BZ4"/>
    <mergeCell ref="CA4:CC4"/>
    <mergeCell ref="CA5:CC5"/>
    <mergeCell ref="AO5:AT5"/>
    <mergeCell ref="AW5:AX5"/>
    <mergeCell ref="BC5:BD5"/>
    <mergeCell ref="BF5:BG5"/>
    <mergeCell ref="BJ5:BK5"/>
    <mergeCell ref="BN5:BP5"/>
    <mergeCell ref="AL4:AM5"/>
    <mergeCell ref="AN4:AN5"/>
    <mergeCell ref="BV2:BW2"/>
    <mergeCell ref="BX2:BZ2"/>
    <mergeCell ref="CD2:CF2"/>
    <mergeCell ref="CG2:CI2"/>
    <mergeCell ref="AF3:AH3"/>
    <mergeCell ref="BV3:BW3"/>
    <mergeCell ref="BX3:BZ3"/>
    <mergeCell ref="CD3:CF3"/>
    <mergeCell ref="CG3:CI3"/>
    <mergeCell ref="CA2:CC2"/>
    <mergeCell ref="CA3:CC3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2" manualBreakCount="2">
    <brk id="35" max="1048575" man="1"/>
    <brk id="7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44EA0-F30E-443A-ADAB-222748F653B3}">
  <dimension ref="B2:BR38"/>
  <sheetViews>
    <sheetView showGridLines="0" view="pageBreakPreview" zoomScale="60" zoomScaleNormal="65" workbookViewId="0">
      <selection activeCell="A2" sqref="A2"/>
    </sheetView>
  </sheetViews>
  <sheetFormatPr defaultRowHeight="18"/>
  <cols>
    <col min="1" max="70" width="3" customWidth="1"/>
  </cols>
  <sheetData>
    <row r="2" spans="2:69">
      <c r="B2" t="s">
        <v>518</v>
      </c>
      <c r="Y2" s="34"/>
      <c r="Z2" s="35"/>
      <c r="AA2" s="35"/>
      <c r="AB2" s="35"/>
      <c r="AC2" s="35"/>
      <c r="AD2" s="35"/>
      <c r="AE2" s="35"/>
      <c r="AF2" s="35"/>
      <c r="AG2" s="35"/>
      <c r="AH2" s="40"/>
      <c r="AL2" s="68" t="s">
        <v>521</v>
      </c>
    </row>
    <row r="3" spans="2:69">
      <c r="C3" t="s">
        <v>519</v>
      </c>
      <c r="Y3" s="5"/>
      <c r="AH3" s="6"/>
      <c r="AQ3" s="134" t="s">
        <v>469</v>
      </c>
      <c r="AR3" s="135"/>
      <c r="AS3" s="135"/>
      <c r="AT3" s="136"/>
      <c r="AU3" s="134" t="s">
        <v>281</v>
      </c>
      <c r="AV3" s="135"/>
      <c r="AW3" s="136"/>
      <c r="AX3" s="134" t="s">
        <v>514</v>
      </c>
      <c r="AY3" s="135"/>
      <c r="AZ3" s="135"/>
      <c r="BA3" s="136"/>
      <c r="BB3" s="134" t="s">
        <v>473</v>
      </c>
      <c r="BC3" s="135"/>
      <c r="BD3" s="135"/>
      <c r="BE3" s="136"/>
      <c r="BF3" s="134" t="s">
        <v>272</v>
      </c>
      <c r="BG3" s="135"/>
      <c r="BH3" s="136"/>
    </row>
    <row r="4" spans="2:69">
      <c r="H4" s="134" t="s">
        <v>512</v>
      </c>
      <c r="I4" s="135"/>
      <c r="J4" s="135"/>
      <c r="K4" s="136"/>
      <c r="L4" s="134" t="s">
        <v>468</v>
      </c>
      <c r="M4" s="135"/>
      <c r="N4" s="136"/>
      <c r="O4" s="134" t="s">
        <v>467</v>
      </c>
      <c r="P4" s="135"/>
      <c r="Q4" s="136"/>
      <c r="R4" s="134" t="s">
        <v>469</v>
      </c>
      <c r="S4" s="135"/>
      <c r="T4" s="135"/>
      <c r="U4" s="136"/>
      <c r="Y4" s="5"/>
      <c r="AH4" s="6"/>
      <c r="AJ4" s="1"/>
      <c r="AQ4" s="224" t="s">
        <v>470</v>
      </c>
      <c r="AR4" s="218"/>
      <c r="AS4" s="218"/>
      <c r="AT4" s="225"/>
      <c r="AU4" s="224" t="s">
        <v>233</v>
      </c>
      <c r="AV4" s="218"/>
      <c r="AW4" s="225"/>
      <c r="AX4" s="270" t="s">
        <v>36</v>
      </c>
      <c r="AY4" s="271"/>
      <c r="AZ4" s="271"/>
      <c r="BA4" s="272"/>
      <c r="BB4" s="224" t="s">
        <v>500</v>
      </c>
      <c r="BC4" s="218"/>
      <c r="BD4" s="218"/>
      <c r="BE4" s="225"/>
      <c r="BF4" s="224" t="s">
        <v>501</v>
      </c>
      <c r="BG4" s="218"/>
      <c r="BH4" s="225"/>
    </row>
    <row r="5" spans="2:69">
      <c r="H5" s="270" t="s">
        <v>36</v>
      </c>
      <c r="I5" s="271"/>
      <c r="J5" s="271"/>
      <c r="K5" s="272"/>
      <c r="L5" s="224" t="s">
        <v>471</v>
      </c>
      <c r="M5" s="218"/>
      <c r="N5" s="225"/>
      <c r="O5" s="224" t="s">
        <v>457</v>
      </c>
      <c r="P5" s="218"/>
      <c r="Q5" s="225"/>
      <c r="R5" s="224" t="s">
        <v>470</v>
      </c>
      <c r="S5" s="218"/>
      <c r="T5" s="218"/>
      <c r="U5" s="225"/>
      <c r="Y5" s="5"/>
      <c r="AH5" s="6"/>
      <c r="AJ5" s="1"/>
      <c r="AQ5" s="221" t="s">
        <v>274</v>
      </c>
      <c r="AR5" s="222"/>
      <c r="AS5" s="222"/>
      <c r="AT5" s="223"/>
      <c r="AU5" s="221"/>
      <c r="AV5" s="222"/>
      <c r="AW5" s="223"/>
      <c r="AX5" s="282" t="s">
        <v>274</v>
      </c>
      <c r="AY5" s="141"/>
      <c r="AZ5" s="141"/>
      <c r="BA5" s="283"/>
      <c r="BB5" s="221" t="s">
        <v>274</v>
      </c>
      <c r="BC5" s="222"/>
      <c r="BD5" s="222"/>
      <c r="BE5" s="223"/>
      <c r="BF5" s="221" t="s">
        <v>274</v>
      </c>
      <c r="BG5" s="222"/>
      <c r="BH5" s="223"/>
    </row>
    <row r="6" spans="2:69">
      <c r="H6" s="221" t="s">
        <v>274</v>
      </c>
      <c r="I6" s="222"/>
      <c r="J6" s="222"/>
      <c r="K6" s="223"/>
      <c r="L6" s="221" t="s">
        <v>274</v>
      </c>
      <c r="M6" s="222"/>
      <c r="N6" s="223"/>
      <c r="O6" s="221" t="s">
        <v>274</v>
      </c>
      <c r="P6" s="222"/>
      <c r="Q6" s="223"/>
      <c r="R6" s="221" t="s">
        <v>274</v>
      </c>
      <c r="S6" s="222"/>
      <c r="T6" s="222"/>
      <c r="U6" s="223"/>
      <c r="Y6" s="5"/>
      <c r="AH6" s="6"/>
      <c r="AJ6" s="1"/>
      <c r="AN6" s="53">
        <f t="shared" ref="AN6:AN11" si="0">E19</f>
        <v>6</v>
      </c>
      <c r="AO6" s="240" t="str">
        <f t="shared" ref="AO6:AO11" si="1">IF(AN6&lt;&gt;"","段目","")</f>
        <v>段目</v>
      </c>
      <c r="AP6" s="240"/>
      <c r="AQ6" s="243" t="str">
        <f t="shared" ref="AQ6:AQ12" si="2">H19</f>
        <v/>
      </c>
      <c r="AR6" s="243"/>
      <c r="AS6" s="243"/>
      <c r="AT6" s="243"/>
      <c r="AU6" s="280" t="str">
        <f>IF(AQ6="","", '1.設計条件'!T$13)</f>
        <v/>
      </c>
      <c r="AV6" s="257"/>
      <c r="AW6" s="281"/>
      <c r="AX6" s="226" t="str">
        <f>IF(AQ6="","",'1.設計条件'!T$7)</f>
        <v/>
      </c>
      <c r="AY6" s="226"/>
      <c r="AZ6" s="226"/>
      <c r="BA6" s="226"/>
      <c r="BB6" s="226" t="str">
        <f t="shared" ref="BB6:BB7" si="3">IFERROR(AX6+AQ6*AU6,"")</f>
        <v/>
      </c>
      <c r="BC6" s="226"/>
      <c r="BD6" s="226"/>
      <c r="BE6" s="226"/>
      <c r="BF6" s="278" t="str">
        <f t="shared" ref="BF6:BF12" si="4">IFERROR(BB6/2,"")</f>
        <v/>
      </c>
      <c r="BG6" s="258"/>
      <c r="BH6" s="279"/>
    </row>
    <row r="7" spans="2:69">
      <c r="D7" s="66">
        <v>6</v>
      </c>
      <c r="E7" s="53">
        <f>IF(('1.設計条件'!BG$6+1)&gt;=D7, D7, "")</f>
        <v>6</v>
      </c>
      <c r="F7" s="240" t="str">
        <f t="shared" ref="F7:F12" si="5">IF(E7&lt;&gt;"","段目","")</f>
        <v>段目</v>
      </c>
      <c r="G7" s="241"/>
      <c r="H7" s="226">
        <f>_xlfn.IFS(D7=0, '1.設計条件'!T$10, ('1.設計条件'!BG$6+1)&gt;D7,  '1.設計条件'!BG$5, ('1.設計条件'!BG$6+1)=D7,  '1.設計条件'!BG$4+'1.設計条件'!T$8, TRUE,"")</f>
        <v>0.79999999999999982</v>
      </c>
      <c r="I7" s="226"/>
      <c r="J7" s="226"/>
      <c r="K7" s="226"/>
      <c r="L7" s="226">
        <f t="shared" ref="L7:L12" si="6">IF(H7="","",IFERROR(L8+H8,""))</f>
        <v>5.3</v>
      </c>
      <c r="M7" s="226"/>
      <c r="N7" s="226"/>
      <c r="O7" s="142">
        <f>'1.設計条件'!T37</f>
        <v>3.7</v>
      </c>
      <c r="P7" s="143"/>
      <c r="Q7" s="144"/>
      <c r="R7" s="226" t="str">
        <f t="shared" ref="R7:R12" si="7">IF(L7&lt;=O$7,MIN(H7,O$7-L7),"")</f>
        <v/>
      </c>
      <c r="S7" s="226"/>
      <c r="T7" s="226"/>
      <c r="U7" s="226"/>
      <c r="Y7" s="5"/>
      <c r="AH7" s="6"/>
      <c r="AN7" s="53">
        <f t="shared" si="0"/>
        <v>5</v>
      </c>
      <c r="AO7" s="240" t="str">
        <f t="shared" si="1"/>
        <v>段目</v>
      </c>
      <c r="AP7" s="240"/>
      <c r="AQ7" s="243" t="str">
        <f t="shared" si="2"/>
        <v/>
      </c>
      <c r="AR7" s="243"/>
      <c r="AS7" s="243"/>
      <c r="AT7" s="243"/>
      <c r="AU7" s="280" t="str">
        <f>IF(AQ7="","", '1.設計条件'!T$13)</f>
        <v/>
      </c>
      <c r="AV7" s="257"/>
      <c r="AW7" s="281"/>
      <c r="AX7" s="226" t="str">
        <f>IF(AQ7="","",'1.設計条件'!T$7)</f>
        <v/>
      </c>
      <c r="AY7" s="226"/>
      <c r="AZ7" s="226"/>
      <c r="BA7" s="226"/>
      <c r="BB7" s="226" t="str">
        <f t="shared" si="3"/>
        <v/>
      </c>
      <c r="BC7" s="226"/>
      <c r="BD7" s="226"/>
      <c r="BE7" s="226"/>
      <c r="BF7" s="278" t="str">
        <f t="shared" si="4"/>
        <v/>
      </c>
      <c r="BG7" s="258"/>
      <c r="BH7" s="279"/>
    </row>
    <row r="8" spans="2:69">
      <c r="D8" s="66">
        <v>5</v>
      </c>
      <c r="E8" s="53">
        <f>IF(('1.設計条件'!BG$6+1)&gt;=D8, D8, "")</f>
        <v>5</v>
      </c>
      <c r="F8" s="240" t="str">
        <f t="shared" si="5"/>
        <v>段目</v>
      </c>
      <c r="G8" s="241"/>
      <c r="H8" s="226">
        <f>_xlfn.IFS(D8=0, '1.設計条件'!T$10, ('1.設計条件'!BG$6+1)&gt;D8,  '1.設計条件'!BG$5, ('1.設計条件'!BG$6+1)=D8,  '1.設計条件'!BG$4+'1.設計条件'!T$8, TRUE,"")</f>
        <v>1</v>
      </c>
      <c r="I8" s="226"/>
      <c r="J8" s="226"/>
      <c r="K8" s="226"/>
      <c r="L8" s="226">
        <f t="shared" si="6"/>
        <v>4.3</v>
      </c>
      <c r="M8" s="226"/>
      <c r="N8" s="226"/>
      <c r="O8" s="276"/>
      <c r="P8" s="216"/>
      <c r="Q8" s="277"/>
      <c r="R8" s="226" t="str">
        <f t="shared" si="7"/>
        <v/>
      </c>
      <c r="S8" s="226"/>
      <c r="T8" s="226"/>
      <c r="U8" s="226"/>
      <c r="Y8" s="5"/>
      <c r="AH8" s="6"/>
      <c r="AJ8" s="1"/>
      <c r="AN8" s="53">
        <f t="shared" si="0"/>
        <v>4</v>
      </c>
      <c r="AO8" s="240" t="str">
        <f t="shared" si="1"/>
        <v>段目</v>
      </c>
      <c r="AP8" s="240"/>
      <c r="AQ8" s="243">
        <f t="shared" si="2"/>
        <v>0.40000000000000036</v>
      </c>
      <c r="AR8" s="243"/>
      <c r="AS8" s="243"/>
      <c r="AT8" s="243"/>
      <c r="AU8" s="280">
        <f>IF(AQ8="","", '1.設計条件'!T$13)</f>
        <v>0.4</v>
      </c>
      <c r="AV8" s="257"/>
      <c r="AW8" s="281"/>
      <c r="AX8" s="226">
        <f>IF(AQ8="","",'1.設計条件'!T$7)</f>
        <v>1.1000000000000001</v>
      </c>
      <c r="AY8" s="226"/>
      <c r="AZ8" s="226"/>
      <c r="BA8" s="226"/>
      <c r="BB8" s="226">
        <f>IFERROR(AX8+AQ8*AU8,"")</f>
        <v>1.2600000000000002</v>
      </c>
      <c r="BC8" s="226"/>
      <c r="BD8" s="226"/>
      <c r="BE8" s="226"/>
      <c r="BF8" s="278">
        <f t="shared" si="4"/>
        <v>0.63000000000000012</v>
      </c>
      <c r="BG8" s="258"/>
      <c r="BH8" s="279"/>
    </row>
    <row r="9" spans="2:69">
      <c r="D9" s="66">
        <v>4</v>
      </c>
      <c r="E9" s="53">
        <f>IF(('1.設計条件'!BG$6+1)&gt;=D9, D9, "")</f>
        <v>4</v>
      </c>
      <c r="F9" s="240" t="str">
        <f t="shared" si="5"/>
        <v>段目</v>
      </c>
      <c r="G9" s="241"/>
      <c r="H9" s="226">
        <f>_xlfn.IFS(D9=0, '1.設計条件'!T$10, ('1.設計条件'!BG$6+1)&gt;D9,  '1.設計条件'!BG$5, ('1.設計条件'!BG$6+1)=D9,  '1.設計条件'!BG$4+'1.設計条件'!T$8, TRUE,"")</f>
        <v>1</v>
      </c>
      <c r="I9" s="226"/>
      <c r="J9" s="226"/>
      <c r="K9" s="226"/>
      <c r="L9" s="226">
        <f t="shared" si="6"/>
        <v>3.3</v>
      </c>
      <c r="M9" s="226"/>
      <c r="N9" s="226"/>
      <c r="O9" s="276"/>
      <c r="P9" s="216"/>
      <c r="Q9" s="277"/>
      <c r="R9" s="226">
        <f t="shared" si="7"/>
        <v>0.40000000000000036</v>
      </c>
      <c r="S9" s="226"/>
      <c r="T9" s="226"/>
      <c r="U9" s="226"/>
      <c r="Y9" s="5"/>
      <c r="AH9" s="6"/>
      <c r="AN9" s="53">
        <f t="shared" si="0"/>
        <v>3</v>
      </c>
      <c r="AO9" s="240" t="str">
        <f t="shared" si="1"/>
        <v>段目</v>
      </c>
      <c r="AP9" s="240"/>
      <c r="AQ9" s="243">
        <f t="shared" si="2"/>
        <v>1</v>
      </c>
      <c r="AR9" s="243"/>
      <c r="AS9" s="243"/>
      <c r="AT9" s="243"/>
      <c r="AU9" s="280">
        <f>IF(AQ9="","", '1.設計条件'!T$13)</f>
        <v>0.4</v>
      </c>
      <c r="AV9" s="257"/>
      <c r="AW9" s="281"/>
      <c r="AX9" s="226">
        <f>IF(AQ9="","",'1.設計条件'!T$7)</f>
        <v>1.1000000000000001</v>
      </c>
      <c r="AY9" s="226"/>
      <c r="AZ9" s="226"/>
      <c r="BA9" s="226"/>
      <c r="BB9" s="226">
        <f>IFERROR(AX9+AQ9*AU9,"")</f>
        <v>1.5</v>
      </c>
      <c r="BC9" s="226"/>
      <c r="BD9" s="226"/>
      <c r="BE9" s="226"/>
      <c r="BF9" s="278">
        <f t="shared" si="4"/>
        <v>0.75</v>
      </c>
      <c r="BG9" s="258"/>
      <c r="BH9" s="279"/>
    </row>
    <row r="10" spans="2:69">
      <c r="D10" s="66">
        <v>3</v>
      </c>
      <c r="E10" s="53">
        <f>IF(('1.設計条件'!BG$6+1)&gt;=D10, D10, "")</f>
        <v>3</v>
      </c>
      <c r="F10" s="240" t="str">
        <f t="shared" si="5"/>
        <v>段目</v>
      </c>
      <c r="G10" s="241"/>
      <c r="H10" s="226">
        <f>_xlfn.IFS(D10=0, '1.設計条件'!T$10, ('1.設計条件'!BG$6+1)&gt;D10,  '1.設計条件'!BG$5, ('1.設計条件'!BG$6+1)=D10,  '1.設計条件'!BG$4+'1.設計条件'!T$8, TRUE,"")</f>
        <v>1</v>
      </c>
      <c r="I10" s="226"/>
      <c r="J10" s="226"/>
      <c r="K10" s="226"/>
      <c r="L10" s="226">
        <f t="shared" si="6"/>
        <v>2.2999999999999998</v>
      </c>
      <c r="M10" s="226"/>
      <c r="N10" s="226"/>
      <c r="O10" s="276"/>
      <c r="P10" s="216"/>
      <c r="Q10" s="277"/>
      <c r="R10" s="226">
        <f t="shared" si="7"/>
        <v>1</v>
      </c>
      <c r="S10" s="226"/>
      <c r="T10" s="226"/>
      <c r="U10" s="226"/>
      <c r="Y10" s="5"/>
      <c r="AH10" s="6"/>
      <c r="AJ10" s="1"/>
      <c r="AN10" s="53">
        <f t="shared" si="0"/>
        <v>2</v>
      </c>
      <c r="AO10" s="240" t="str">
        <f t="shared" si="1"/>
        <v>段目</v>
      </c>
      <c r="AP10" s="240"/>
      <c r="AQ10" s="243">
        <f t="shared" si="2"/>
        <v>1</v>
      </c>
      <c r="AR10" s="243"/>
      <c r="AS10" s="243"/>
      <c r="AT10" s="243"/>
      <c r="AU10" s="280">
        <f>IF(AQ10="","", '1.設計条件'!T$13)</f>
        <v>0.4</v>
      </c>
      <c r="AV10" s="257"/>
      <c r="AW10" s="281"/>
      <c r="AX10" s="226">
        <f>IF(AQ10="","",'1.設計条件'!T$7)</f>
        <v>1.1000000000000001</v>
      </c>
      <c r="AY10" s="226"/>
      <c r="AZ10" s="226"/>
      <c r="BA10" s="226"/>
      <c r="BB10" s="226">
        <f>IFERROR(AX10+AQ10*AU10,"")</f>
        <v>1.5</v>
      </c>
      <c r="BC10" s="226"/>
      <c r="BD10" s="226"/>
      <c r="BE10" s="226"/>
      <c r="BF10" s="278">
        <f t="shared" si="4"/>
        <v>0.75</v>
      </c>
      <c r="BG10" s="258"/>
      <c r="BH10" s="279"/>
    </row>
    <row r="11" spans="2:69">
      <c r="D11" s="66">
        <v>2</v>
      </c>
      <c r="E11" s="53">
        <f>IF(('1.設計条件'!BG$6+1)&gt;=D11, D11, "")</f>
        <v>2</v>
      </c>
      <c r="F11" s="240" t="str">
        <f t="shared" si="5"/>
        <v>段目</v>
      </c>
      <c r="G11" s="241"/>
      <c r="H11" s="226">
        <f>_xlfn.IFS(D11=0, '1.設計条件'!T$10, ('1.設計条件'!BG$6+1)&gt;D11,  '1.設計条件'!BG$5, ('1.設計条件'!BG$6+1)=D11,  '1.設計条件'!BG$4+'1.設計条件'!T$8, TRUE,"")</f>
        <v>1</v>
      </c>
      <c r="I11" s="226"/>
      <c r="J11" s="226"/>
      <c r="K11" s="226"/>
      <c r="L11" s="226">
        <f t="shared" si="6"/>
        <v>1.3</v>
      </c>
      <c r="M11" s="226"/>
      <c r="N11" s="226"/>
      <c r="O11" s="276"/>
      <c r="P11" s="216"/>
      <c r="Q11" s="277"/>
      <c r="R11" s="226">
        <f t="shared" si="7"/>
        <v>1</v>
      </c>
      <c r="S11" s="226"/>
      <c r="T11" s="226"/>
      <c r="U11" s="226"/>
      <c r="Y11" s="5"/>
      <c r="AH11" s="6"/>
      <c r="AN11" s="53">
        <f t="shared" si="0"/>
        <v>1</v>
      </c>
      <c r="AO11" s="240" t="str">
        <f t="shared" si="1"/>
        <v>段目</v>
      </c>
      <c r="AP11" s="240"/>
      <c r="AQ11" s="243">
        <f t="shared" si="2"/>
        <v>1</v>
      </c>
      <c r="AR11" s="243"/>
      <c r="AS11" s="243"/>
      <c r="AT11" s="243"/>
      <c r="AU11" s="280">
        <f>IF(AQ11="","", '1.設計条件'!T$13)</f>
        <v>0.4</v>
      </c>
      <c r="AV11" s="257"/>
      <c r="AW11" s="281"/>
      <c r="AX11" s="226">
        <f>IF(AQ11="","",'1.設計条件'!T$7)</f>
        <v>1.1000000000000001</v>
      </c>
      <c r="AY11" s="226"/>
      <c r="AZ11" s="226"/>
      <c r="BA11" s="226"/>
      <c r="BB11" s="226">
        <f>IFERROR(AX11+AQ11*AU11,"")</f>
        <v>1.5</v>
      </c>
      <c r="BC11" s="226"/>
      <c r="BD11" s="226"/>
      <c r="BE11" s="226"/>
      <c r="BF11" s="278">
        <f t="shared" si="4"/>
        <v>0.75</v>
      </c>
      <c r="BG11" s="258"/>
      <c r="BH11" s="279"/>
    </row>
    <row r="12" spans="2:69">
      <c r="D12" s="66">
        <v>1</v>
      </c>
      <c r="E12" s="53">
        <f>IF(('1.設計条件'!BG$6+1)&gt;=D12, D12, "")</f>
        <v>1</v>
      </c>
      <c r="F12" s="240" t="str">
        <f t="shared" si="5"/>
        <v>段目</v>
      </c>
      <c r="G12" s="241"/>
      <c r="H12" s="226">
        <f>_xlfn.IFS(D12=0, '1.設計条件'!T$10, ('1.設計条件'!BG$6+1)&gt;D12,  '1.設計条件'!BG$5, ('1.設計条件'!BG$6+1)=D12,  '1.設計条件'!BG$4+'1.設計条件'!T$8, TRUE,"")</f>
        <v>1</v>
      </c>
      <c r="I12" s="226"/>
      <c r="J12" s="226"/>
      <c r="K12" s="226"/>
      <c r="L12" s="226">
        <f t="shared" si="6"/>
        <v>0.3</v>
      </c>
      <c r="M12" s="226"/>
      <c r="N12" s="226"/>
      <c r="O12" s="276"/>
      <c r="P12" s="216"/>
      <c r="Q12" s="277"/>
      <c r="R12" s="226">
        <f t="shared" si="7"/>
        <v>1</v>
      </c>
      <c r="S12" s="226"/>
      <c r="T12" s="226"/>
      <c r="U12" s="226"/>
      <c r="Y12" s="5"/>
      <c r="AH12" s="6"/>
      <c r="AN12" s="242" t="s">
        <v>264</v>
      </c>
      <c r="AO12" s="242"/>
      <c r="AP12" s="185"/>
      <c r="AQ12" s="243">
        <f t="shared" si="2"/>
        <v>0.3</v>
      </c>
      <c r="AR12" s="243"/>
      <c r="AS12" s="243"/>
      <c r="AT12" s="243"/>
      <c r="AU12" s="280"/>
      <c r="AV12" s="257"/>
      <c r="AW12" s="281"/>
      <c r="AX12" s="226">
        <f>'1.設計条件'!T9</f>
        <v>1.3</v>
      </c>
      <c r="AY12" s="226"/>
      <c r="AZ12" s="226"/>
      <c r="BA12" s="226"/>
      <c r="BB12" s="226">
        <f>IFERROR(AX12+AQ12*AU12,"")</f>
        <v>1.3</v>
      </c>
      <c r="BC12" s="226"/>
      <c r="BD12" s="226"/>
      <c r="BE12" s="226"/>
      <c r="BF12" s="278">
        <f t="shared" si="4"/>
        <v>0.65</v>
      </c>
      <c r="BG12" s="258"/>
      <c r="BH12" s="279"/>
    </row>
    <row r="13" spans="2:69">
      <c r="D13" s="66">
        <v>0</v>
      </c>
      <c r="E13" s="242" t="s">
        <v>264</v>
      </c>
      <c r="F13" s="242"/>
      <c r="G13" s="242"/>
      <c r="H13" s="226">
        <f>_xlfn.IFS(D13=0, '1.設計条件'!T$10, ('1.設計条件'!BG$6+1)&gt;D13,  '1.設計条件'!BG$5, ('1.設計条件'!BG$6+1)=D13,  '1.設計条件'!BG$4+'1.設計条件'!T$8, TRUE,"")</f>
        <v>0.3</v>
      </c>
      <c r="I13" s="226"/>
      <c r="J13" s="226"/>
      <c r="K13" s="226"/>
      <c r="L13" s="226">
        <v>0</v>
      </c>
      <c r="M13" s="226"/>
      <c r="N13" s="226"/>
      <c r="O13" s="278"/>
      <c r="P13" s="258"/>
      <c r="Q13" s="279"/>
      <c r="R13" s="226">
        <f>IF(L13&lt;O$7,MIN(H13,O$7-L13),"")</f>
        <v>0.3</v>
      </c>
      <c r="S13" s="226"/>
      <c r="T13" s="226"/>
      <c r="U13" s="226"/>
      <c r="Y13" s="5"/>
      <c r="AH13" s="6"/>
    </row>
    <row r="14" spans="2:69">
      <c r="Y14" s="7"/>
      <c r="Z14" s="10"/>
      <c r="AA14" s="10"/>
      <c r="AB14" s="10"/>
      <c r="AC14" s="10"/>
      <c r="AD14" s="10"/>
      <c r="AE14" s="10"/>
      <c r="AF14" s="10"/>
      <c r="AG14" s="10"/>
      <c r="AH14" s="8"/>
      <c r="BH14" s="34"/>
      <c r="BI14" s="35"/>
      <c r="BJ14" s="35"/>
      <c r="BK14" s="35"/>
      <c r="BL14" s="35"/>
      <c r="BM14" s="35"/>
      <c r="BN14" s="35"/>
      <c r="BO14" s="35"/>
      <c r="BP14" s="35"/>
      <c r="BQ14" s="40"/>
    </row>
    <row r="15" spans="2:69">
      <c r="C15" t="s">
        <v>520</v>
      </c>
      <c r="BH15" s="5"/>
      <c r="BQ15" s="6"/>
    </row>
    <row r="16" spans="2:69">
      <c r="H16" s="134" t="s">
        <v>469</v>
      </c>
      <c r="I16" s="135"/>
      <c r="J16" s="135"/>
      <c r="K16" s="136"/>
      <c r="L16" s="134" t="s">
        <v>513</v>
      </c>
      <c r="M16" s="135"/>
      <c r="N16" s="135"/>
      <c r="O16" s="136"/>
      <c r="P16" s="134" t="s">
        <v>38</v>
      </c>
      <c r="Q16" s="135"/>
      <c r="R16" s="135"/>
      <c r="S16" s="136"/>
      <c r="T16" s="248" t="s">
        <v>458</v>
      </c>
      <c r="U16" s="249"/>
      <c r="V16" s="249"/>
      <c r="W16" s="249"/>
      <c r="X16" s="249"/>
      <c r="Y16" s="250"/>
      <c r="Z16" s="134" t="s">
        <v>465</v>
      </c>
      <c r="AA16" s="135"/>
      <c r="AB16" s="136"/>
      <c r="BH16" s="5"/>
      <c r="BQ16" s="6"/>
    </row>
    <row r="17" spans="5:69">
      <c r="H17" s="224" t="s">
        <v>470</v>
      </c>
      <c r="I17" s="218"/>
      <c r="J17" s="218"/>
      <c r="K17" s="225"/>
      <c r="L17" s="270" t="s">
        <v>36</v>
      </c>
      <c r="M17" s="271"/>
      <c r="N17" s="271"/>
      <c r="O17" s="272"/>
      <c r="P17" s="224" t="s">
        <v>502</v>
      </c>
      <c r="Q17" s="218"/>
      <c r="R17" s="218"/>
      <c r="S17" s="225"/>
      <c r="T17" s="285" t="s">
        <v>464</v>
      </c>
      <c r="U17" s="286"/>
      <c r="V17" s="286"/>
      <c r="W17" s="286"/>
      <c r="X17" s="286"/>
      <c r="Y17" s="287"/>
      <c r="Z17" s="273" t="s">
        <v>472</v>
      </c>
      <c r="AA17" s="274"/>
      <c r="AB17" s="275"/>
      <c r="BH17" s="5"/>
      <c r="BQ17" s="6"/>
    </row>
    <row r="18" spans="5:69">
      <c r="H18" s="221" t="s">
        <v>274</v>
      </c>
      <c r="I18" s="222"/>
      <c r="J18" s="222"/>
      <c r="K18" s="223"/>
      <c r="L18" s="221" t="s">
        <v>274</v>
      </c>
      <c r="M18" s="222"/>
      <c r="N18" s="222"/>
      <c r="O18" s="223"/>
      <c r="P18" s="282" t="s">
        <v>499</v>
      </c>
      <c r="Q18" s="141"/>
      <c r="R18" s="141"/>
      <c r="S18" s="283"/>
      <c r="T18" s="282" t="s">
        <v>466</v>
      </c>
      <c r="U18" s="141"/>
      <c r="V18" s="141"/>
      <c r="W18" s="141"/>
      <c r="X18" s="141"/>
      <c r="Y18" s="283"/>
      <c r="Z18" s="221" t="s">
        <v>101</v>
      </c>
      <c r="AA18" s="222"/>
      <c r="AB18" s="223"/>
      <c r="AJ18" s="1"/>
      <c r="BH18" s="5"/>
      <c r="BQ18" s="6"/>
    </row>
    <row r="19" spans="5:69">
      <c r="E19" s="53">
        <f>E7</f>
        <v>6</v>
      </c>
      <c r="F19" s="240" t="str">
        <f t="shared" ref="F19:F24" si="8">IF(E19&lt;&gt;"","段目","")</f>
        <v>段目</v>
      </c>
      <c r="G19" s="240"/>
      <c r="H19" s="243" t="str">
        <f t="shared" ref="H19:H25" si="9">R7</f>
        <v/>
      </c>
      <c r="I19" s="243"/>
      <c r="J19" s="243"/>
      <c r="K19" s="243"/>
      <c r="L19" s="226" t="str">
        <f>IF(H19="","",'1.設計条件'!T$7)</f>
        <v/>
      </c>
      <c r="M19" s="226"/>
      <c r="N19" s="226"/>
      <c r="O19" s="226"/>
      <c r="P19" s="226" t="str">
        <f t="shared" ref="P19:P25" si="10">IFERROR(H19*L19,"")</f>
        <v/>
      </c>
      <c r="Q19" s="226"/>
      <c r="R19" s="226"/>
      <c r="S19" s="226"/>
      <c r="T19" s="284" t="str">
        <f>IF(H19="","",'1.設計条件'!T$38)</f>
        <v/>
      </c>
      <c r="U19" s="284"/>
      <c r="V19" s="284"/>
      <c r="W19" s="284"/>
      <c r="X19" s="284"/>
      <c r="Y19" s="284"/>
      <c r="Z19" s="226" t="str">
        <f t="shared" ref="Z19:Z25" si="11">IFERROR(-T19*P19, "")</f>
        <v/>
      </c>
      <c r="AA19" s="226"/>
      <c r="AB19" s="226"/>
      <c r="AJ19" s="1"/>
      <c r="BH19" s="5"/>
      <c r="BQ19" s="6"/>
    </row>
    <row r="20" spans="5:69">
      <c r="E20" s="53">
        <f t="shared" ref="E20:E24" si="12">E8</f>
        <v>5</v>
      </c>
      <c r="F20" s="240" t="str">
        <f t="shared" si="8"/>
        <v>段目</v>
      </c>
      <c r="G20" s="240"/>
      <c r="H20" s="226" t="str">
        <f t="shared" si="9"/>
        <v/>
      </c>
      <c r="I20" s="226"/>
      <c r="J20" s="226"/>
      <c r="K20" s="226"/>
      <c r="L20" s="226" t="str">
        <f>IF(H20="","",'1.設計条件'!T$7)</f>
        <v/>
      </c>
      <c r="M20" s="226"/>
      <c r="N20" s="226"/>
      <c r="O20" s="226"/>
      <c r="P20" s="226" t="str">
        <f t="shared" si="10"/>
        <v/>
      </c>
      <c r="Q20" s="226"/>
      <c r="R20" s="226"/>
      <c r="S20" s="226"/>
      <c r="T20" s="284" t="str">
        <f>IF(H20="","",'1.設計条件'!T$38)</f>
        <v/>
      </c>
      <c r="U20" s="284"/>
      <c r="V20" s="284"/>
      <c r="W20" s="284"/>
      <c r="X20" s="284"/>
      <c r="Y20" s="284"/>
      <c r="Z20" s="226" t="str">
        <f t="shared" si="11"/>
        <v/>
      </c>
      <c r="AA20" s="226"/>
      <c r="AB20" s="226"/>
      <c r="AJ20" s="1"/>
      <c r="BH20" s="5"/>
      <c r="BQ20" s="6"/>
    </row>
    <row r="21" spans="5:69">
      <c r="E21" s="53">
        <f t="shared" si="12"/>
        <v>4</v>
      </c>
      <c r="F21" s="240" t="str">
        <f t="shared" si="8"/>
        <v>段目</v>
      </c>
      <c r="G21" s="240"/>
      <c r="H21" s="226">
        <f t="shared" si="9"/>
        <v>0.40000000000000036</v>
      </c>
      <c r="I21" s="226"/>
      <c r="J21" s="226"/>
      <c r="K21" s="226"/>
      <c r="L21" s="226">
        <f>IF(H21="","",'1.設計条件'!T$7)</f>
        <v>1.1000000000000001</v>
      </c>
      <c r="M21" s="226"/>
      <c r="N21" s="226"/>
      <c r="O21" s="226"/>
      <c r="P21" s="226">
        <f t="shared" si="10"/>
        <v>0.44000000000000045</v>
      </c>
      <c r="Q21" s="226"/>
      <c r="R21" s="226"/>
      <c r="S21" s="226"/>
      <c r="T21" s="284">
        <f>IF(H21="","",'1.設計条件'!T$38)</f>
        <v>9.8000000000000007</v>
      </c>
      <c r="U21" s="284"/>
      <c r="V21" s="284"/>
      <c r="W21" s="284"/>
      <c r="X21" s="284"/>
      <c r="Y21" s="284"/>
      <c r="Z21" s="226">
        <f t="shared" si="11"/>
        <v>-4.3120000000000047</v>
      </c>
      <c r="AA21" s="226"/>
      <c r="AB21" s="226"/>
      <c r="AJ21" s="1"/>
      <c r="BH21" s="5"/>
      <c r="BQ21" s="6"/>
    </row>
    <row r="22" spans="5:69">
      <c r="E22" s="53">
        <f t="shared" si="12"/>
        <v>3</v>
      </c>
      <c r="F22" s="240" t="str">
        <f t="shared" si="8"/>
        <v>段目</v>
      </c>
      <c r="G22" s="240"/>
      <c r="H22" s="226">
        <f t="shared" si="9"/>
        <v>1</v>
      </c>
      <c r="I22" s="226"/>
      <c r="J22" s="226"/>
      <c r="K22" s="226"/>
      <c r="L22" s="226">
        <f>IF(H22="","",'1.設計条件'!T$7)</f>
        <v>1.1000000000000001</v>
      </c>
      <c r="M22" s="226"/>
      <c r="N22" s="226"/>
      <c r="O22" s="226"/>
      <c r="P22" s="226">
        <f t="shared" si="10"/>
        <v>1.1000000000000001</v>
      </c>
      <c r="Q22" s="226"/>
      <c r="R22" s="226"/>
      <c r="S22" s="226"/>
      <c r="T22" s="284">
        <f>IF(H22="","",'1.設計条件'!T$38)</f>
        <v>9.8000000000000007</v>
      </c>
      <c r="U22" s="284"/>
      <c r="V22" s="284"/>
      <c r="W22" s="284"/>
      <c r="X22" s="284"/>
      <c r="Y22" s="284"/>
      <c r="Z22" s="170">
        <f t="shared" si="11"/>
        <v>-10.780000000000001</v>
      </c>
      <c r="AA22" s="171"/>
      <c r="AB22" s="172"/>
      <c r="BH22" s="5"/>
      <c r="BQ22" s="6"/>
    </row>
    <row r="23" spans="5:69">
      <c r="E23" s="53">
        <f t="shared" si="12"/>
        <v>2</v>
      </c>
      <c r="F23" s="240" t="str">
        <f t="shared" si="8"/>
        <v>段目</v>
      </c>
      <c r="G23" s="240"/>
      <c r="H23" s="226">
        <f t="shared" si="9"/>
        <v>1</v>
      </c>
      <c r="I23" s="226"/>
      <c r="J23" s="226"/>
      <c r="K23" s="226"/>
      <c r="L23" s="226">
        <f>IF(H23="","",'1.設計条件'!T$7)</f>
        <v>1.1000000000000001</v>
      </c>
      <c r="M23" s="226"/>
      <c r="N23" s="226"/>
      <c r="O23" s="226"/>
      <c r="P23" s="226">
        <f t="shared" si="10"/>
        <v>1.1000000000000001</v>
      </c>
      <c r="Q23" s="226"/>
      <c r="R23" s="226"/>
      <c r="S23" s="226"/>
      <c r="T23" s="284">
        <f>IF(H23="","",'1.設計条件'!T$38)</f>
        <v>9.8000000000000007</v>
      </c>
      <c r="U23" s="284"/>
      <c r="V23" s="284"/>
      <c r="W23" s="284"/>
      <c r="X23" s="284"/>
      <c r="Y23" s="284"/>
      <c r="Z23" s="170">
        <f t="shared" si="11"/>
        <v>-10.780000000000001</v>
      </c>
      <c r="AA23" s="171"/>
      <c r="AB23" s="172"/>
      <c r="AJ23" s="1"/>
      <c r="BH23" s="5"/>
      <c r="BQ23" s="6"/>
    </row>
    <row r="24" spans="5:69">
      <c r="E24" s="53">
        <f t="shared" si="12"/>
        <v>1</v>
      </c>
      <c r="F24" s="240" t="str">
        <f t="shared" si="8"/>
        <v>段目</v>
      </c>
      <c r="G24" s="240"/>
      <c r="H24" s="226">
        <f t="shared" si="9"/>
        <v>1</v>
      </c>
      <c r="I24" s="226"/>
      <c r="J24" s="226"/>
      <c r="K24" s="226"/>
      <c r="L24" s="226">
        <f>IF(H24="","",'1.設計条件'!T$7)</f>
        <v>1.1000000000000001</v>
      </c>
      <c r="M24" s="226"/>
      <c r="N24" s="226"/>
      <c r="O24" s="226"/>
      <c r="P24" s="226">
        <f t="shared" si="10"/>
        <v>1.1000000000000001</v>
      </c>
      <c r="Q24" s="226"/>
      <c r="R24" s="226"/>
      <c r="S24" s="226"/>
      <c r="T24" s="284">
        <f>IF(H24="","",'1.設計条件'!T$38)</f>
        <v>9.8000000000000007</v>
      </c>
      <c r="U24" s="284"/>
      <c r="V24" s="284"/>
      <c r="W24" s="284"/>
      <c r="X24" s="284"/>
      <c r="Y24" s="284"/>
      <c r="Z24" s="170">
        <f t="shared" si="11"/>
        <v>-10.780000000000001</v>
      </c>
      <c r="AA24" s="171"/>
      <c r="AB24" s="172"/>
      <c r="AJ24" s="1"/>
      <c r="BH24" s="5"/>
      <c r="BQ24" s="6"/>
    </row>
    <row r="25" spans="5:69">
      <c r="E25" s="242" t="s">
        <v>264</v>
      </c>
      <c r="F25" s="242"/>
      <c r="G25" s="185"/>
      <c r="H25" s="226">
        <f t="shared" si="9"/>
        <v>0.3</v>
      </c>
      <c r="I25" s="226"/>
      <c r="J25" s="226"/>
      <c r="K25" s="226"/>
      <c r="L25" s="226">
        <f>'1.設計条件'!T9</f>
        <v>1.3</v>
      </c>
      <c r="M25" s="226"/>
      <c r="N25" s="226"/>
      <c r="O25" s="226"/>
      <c r="P25" s="226">
        <f t="shared" si="10"/>
        <v>0.39</v>
      </c>
      <c r="Q25" s="226"/>
      <c r="R25" s="226"/>
      <c r="S25" s="226"/>
      <c r="T25" s="284">
        <f>IF(H25="","",'1.設計条件'!T$38)</f>
        <v>9.8000000000000007</v>
      </c>
      <c r="U25" s="284"/>
      <c r="V25" s="284"/>
      <c r="W25" s="284"/>
      <c r="X25" s="284"/>
      <c r="Y25" s="284"/>
      <c r="Z25" s="170">
        <f t="shared" si="11"/>
        <v>-3.8220000000000005</v>
      </c>
      <c r="AA25" s="171"/>
      <c r="AB25" s="172"/>
      <c r="AJ25" s="1"/>
      <c r="BH25" s="7"/>
      <c r="BI25" s="10"/>
      <c r="BJ25" s="10"/>
      <c r="BK25" s="10"/>
      <c r="BL25" s="10"/>
      <c r="BM25" s="10"/>
      <c r="BN25" s="10"/>
      <c r="BO25" s="10"/>
      <c r="BP25" s="10"/>
      <c r="BQ25" s="8"/>
    </row>
    <row r="26" spans="5:69">
      <c r="U26" s="115"/>
      <c r="V26" s="115"/>
      <c r="W26" s="115"/>
      <c r="X26" s="115"/>
      <c r="Y26" s="115"/>
    </row>
    <row r="27" spans="5:69">
      <c r="Y27" s="34"/>
      <c r="Z27" s="35"/>
      <c r="AA27" s="35"/>
      <c r="AB27" s="35"/>
      <c r="AC27" s="35"/>
      <c r="AD27" s="35"/>
      <c r="AE27" s="35"/>
      <c r="AF27" s="35"/>
      <c r="AG27" s="35"/>
      <c r="AH27" s="40"/>
      <c r="AL27" t="s">
        <v>522</v>
      </c>
      <c r="BH27" s="34"/>
      <c r="BI27" s="35"/>
      <c r="BJ27" s="35"/>
      <c r="BK27" s="35"/>
      <c r="BL27" s="35"/>
      <c r="BM27" s="35"/>
      <c r="BN27" s="35"/>
      <c r="BO27" s="35"/>
      <c r="BP27" s="35"/>
      <c r="BQ27" s="40"/>
    </row>
    <row r="28" spans="5:69">
      <c r="Y28" s="5"/>
      <c r="AH28" s="6"/>
      <c r="AQ28" s="134" t="s">
        <v>276</v>
      </c>
      <c r="AR28" s="135"/>
      <c r="AS28" s="136"/>
      <c r="AT28" s="134" t="s">
        <v>272</v>
      </c>
      <c r="AU28" s="135"/>
      <c r="AV28" s="136"/>
      <c r="AW28" s="134" t="s">
        <v>296</v>
      </c>
      <c r="AX28" s="135"/>
      <c r="AY28" s="135"/>
      <c r="AZ28" s="136"/>
      <c r="BH28" s="5"/>
      <c r="BQ28" s="6"/>
    </row>
    <row r="29" spans="5:69">
      <c r="Y29" s="5"/>
      <c r="AH29" s="6"/>
      <c r="AQ29" s="224" t="s">
        <v>273</v>
      </c>
      <c r="AR29" s="218"/>
      <c r="AS29" s="225"/>
      <c r="AT29" s="224" t="s">
        <v>40</v>
      </c>
      <c r="AU29" s="218"/>
      <c r="AV29" s="225"/>
      <c r="AW29" s="224" t="s">
        <v>511</v>
      </c>
      <c r="AX29" s="218"/>
      <c r="AY29" s="218"/>
      <c r="AZ29" s="225"/>
      <c r="BH29" s="5"/>
      <c r="BQ29" s="6"/>
    </row>
    <row r="30" spans="5:69">
      <c r="Y30" s="5"/>
      <c r="AH30" s="6"/>
      <c r="AQ30" s="221" t="s">
        <v>274</v>
      </c>
      <c r="AR30" s="222"/>
      <c r="AS30" s="223"/>
      <c r="AT30" s="221" t="s">
        <v>274</v>
      </c>
      <c r="AU30" s="222"/>
      <c r="AV30" s="223"/>
      <c r="AW30" s="221" t="s">
        <v>274</v>
      </c>
      <c r="AX30" s="222"/>
      <c r="AY30" s="222"/>
      <c r="AZ30" s="223"/>
      <c r="BH30" s="5"/>
      <c r="BQ30" s="6"/>
    </row>
    <row r="31" spans="5:69">
      <c r="Y31" s="5"/>
      <c r="AH31" s="6"/>
      <c r="AM31" s="66">
        <v>6</v>
      </c>
      <c r="AN31" s="53">
        <f>IF(('1.設計条件'!BG$6+1)&gt;=AM31, AM31, "")</f>
        <v>6</v>
      </c>
      <c r="AO31" s="240" t="str">
        <f t="shared" ref="AO31:AO36" si="13">IF(AN31&lt;&gt;"","段目","")</f>
        <v>段目</v>
      </c>
      <c r="AP31" s="241"/>
      <c r="AQ31" s="243" t="str">
        <f>IF(H19="","",IF(AN31&lt;&gt;"",$AQ$36+'2.自重'!$BO$9*(AM31-1),""))</f>
        <v/>
      </c>
      <c r="AR31" s="244"/>
      <c r="AS31" s="244"/>
      <c r="AT31" s="243" t="str">
        <f t="shared" ref="AT31:AT37" si="14">BF6</f>
        <v/>
      </c>
      <c r="AU31" s="244"/>
      <c r="AV31" s="244"/>
      <c r="AW31" s="226" t="str">
        <f t="shared" ref="AW31:AW37" si="15">IF(SUM(AT31:AV31)=0,"",SUM(AQ31:AV31))</f>
        <v/>
      </c>
      <c r="AX31" s="226"/>
      <c r="AY31" s="226"/>
      <c r="AZ31" s="226"/>
      <c r="BH31" s="5"/>
      <c r="BQ31" s="6"/>
    </row>
    <row r="32" spans="5:69">
      <c r="Y32" s="5"/>
      <c r="AH32" s="6"/>
      <c r="AM32" s="66">
        <v>5</v>
      </c>
      <c r="AN32" s="53">
        <f>IF(('1.設計条件'!BG$6+1)&gt;=AM32, AM32, "")</f>
        <v>5</v>
      </c>
      <c r="AO32" s="240" t="str">
        <f t="shared" si="13"/>
        <v>段目</v>
      </c>
      <c r="AP32" s="241"/>
      <c r="AQ32" s="243" t="str">
        <f>IF(H20="","",IF(AN32&lt;&gt;"",$AQ$36+'2.自重'!$BO$9*(AM32-1),""))</f>
        <v/>
      </c>
      <c r="AR32" s="244"/>
      <c r="AS32" s="244"/>
      <c r="AT32" s="226" t="str">
        <f t="shared" si="14"/>
        <v/>
      </c>
      <c r="AU32" s="227"/>
      <c r="AV32" s="227"/>
      <c r="AW32" s="226" t="str">
        <f t="shared" si="15"/>
        <v/>
      </c>
      <c r="AX32" s="226"/>
      <c r="AY32" s="226"/>
      <c r="AZ32" s="226"/>
      <c r="BH32" s="5"/>
      <c r="BQ32" s="6"/>
    </row>
    <row r="33" spans="25:70">
      <c r="Y33" s="5"/>
      <c r="AH33" s="6"/>
      <c r="AM33" s="66">
        <v>4</v>
      </c>
      <c r="AN33" s="53">
        <f>IF(('1.設計条件'!BG$6+1)&gt;=AM33, AM33, "")</f>
        <v>4</v>
      </c>
      <c r="AO33" s="240" t="str">
        <f t="shared" si="13"/>
        <v>段目</v>
      </c>
      <c r="AP33" s="241"/>
      <c r="AQ33" s="243">
        <f>IF(H21="","",IF(AN33&lt;&gt;"",$AQ$36+'2.自重'!$BO$9*(AM33-1),""))</f>
        <v>1.3000000000000003</v>
      </c>
      <c r="AR33" s="244"/>
      <c r="AS33" s="244"/>
      <c r="AT33" s="226">
        <f t="shared" si="14"/>
        <v>0.63000000000000012</v>
      </c>
      <c r="AU33" s="227"/>
      <c r="AV33" s="227"/>
      <c r="AW33" s="226">
        <f t="shared" si="15"/>
        <v>1.9300000000000004</v>
      </c>
      <c r="AX33" s="226"/>
      <c r="AY33" s="226"/>
      <c r="AZ33" s="226"/>
      <c r="BH33" s="5"/>
      <c r="BQ33" s="6"/>
    </row>
    <row r="34" spans="25:70">
      <c r="Y34" s="5"/>
      <c r="AH34" s="6"/>
      <c r="AM34" s="66">
        <v>3</v>
      </c>
      <c r="AN34" s="53">
        <f>IF(('1.設計条件'!BG$6+1)&gt;=AM34, AM34, "")</f>
        <v>3</v>
      </c>
      <c r="AO34" s="240" t="str">
        <f t="shared" si="13"/>
        <v>段目</v>
      </c>
      <c r="AP34" s="241"/>
      <c r="AQ34" s="243">
        <f>IF(H22="","",IF(AN34&lt;&gt;"",$AQ$36+'2.自重'!$BO$9*(AM34-1),""))</f>
        <v>0.9</v>
      </c>
      <c r="AR34" s="244"/>
      <c r="AS34" s="244"/>
      <c r="AT34" s="226">
        <f t="shared" si="14"/>
        <v>0.75</v>
      </c>
      <c r="AU34" s="227"/>
      <c r="AV34" s="227"/>
      <c r="AW34" s="226">
        <f t="shared" si="15"/>
        <v>1.65</v>
      </c>
      <c r="AX34" s="226"/>
      <c r="AY34" s="226"/>
      <c r="AZ34" s="226"/>
      <c r="BH34" s="5"/>
      <c r="BQ34" s="6"/>
    </row>
    <row r="35" spans="25:70">
      <c r="Y35" s="5"/>
      <c r="AH35" s="6"/>
      <c r="AM35" s="66">
        <v>2</v>
      </c>
      <c r="AN35" s="53">
        <f>IF(('1.設計条件'!BG$6+1)&gt;=AM35, AM35, "")</f>
        <v>2</v>
      </c>
      <c r="AO35" s="240" t="str">
        <f t="shared" si="13"/>
        <v>段目</v>
      </c>
      <c r="AP35" s="241"/>
      <c r="AQ35" s="243">
        <f>IF(H23="","",IF(AN35&lt;&gt;"",$AQ$36+'2.自重'!$BO$9*(AM35-1),""))</f>
        <v>0.5</v>
      </c>
      <c r="AR35" s="244"/>
      <c r="AS35" s="244"/>
      <c r="AT35" s="226">
        <f t="shared" si="14"/>
        <v>0.75</v>
      </c>
      <c r="AU35" s="227"/>
      <c r="AV35" s="227"/>
      <c r="AW35" s="226">
        <f t="shared" si="15"/>
        <v>1.25</v>
      </c>
      <c r="AX35" s="226"/>
      <c r="AY35" s="226"/>
      <c r="AZ35" s="226"/>
      <c r="BH35" s="5"/>
      <c r="BQ35" s="6"/>
    </row>
    <row r="36" spans="25:70">
      <c r="Y36" s="5"/>
      <c r="AH36" s="6"/>
      <c r="AM36" s="66">
        <v>1</v>
      </c>
      <c r="AN36" s="53">
        <f>IF(('1.設計条件'!BG$6+1)&gt;=AM36, AM36, "")</f>
        <v>1</v>
      </c>
      <c r="AO36" s="240" t="str">
        <f t="shared" si="13"/>
        <v>段目</v>
      </c>
      <c r="AP36" s="241"/>
      <c r="AQ36" s="170">
        <f>AQ37+'1.設計条件'!T11</f>
        <v>0.1</v>
      </c>
      <c r="AR36" s="171"/>
      <c r="AS36" s="172"/>
      <c r="AT36" s="226">
        <f t="shared" si="14"/>
        <v>0.75</v>
      </c>
      <c r="AU36" s="227"/>
      <c r="AV36" s="227"/>
      <c r="AW36" s="226">
        <f t="shared" si="15"/>
        <v>0.85</v>
      </c>
      <c r="AX36" s="226"/>
      <c r="AY36" s="226"/>
      <c r="AZ36" s="226"/>
      <c r="BH36" s="5"/>
      <c r="BQ36" s="6"/>
    </row>
    <row r="37" spans="25:70">
      <c r="Y37" s="5"/>
      <c r="AH37" s="6"/>
      <c r="AM37" s="66">
        <v>0</v>
      </c>
      <c r="AN37" s="242" t="s">
        <v>264</v>
      </c>
      <c r="AO37" s="242"/>
      <c r="AP37" s="242"/>
      <c r="AQ37" s="226">
        <v>0</v>
      </c>
      <c r="AR37" s="227"/>
      <c r="AS37" s="227"/>
      <c r="AT37" s="226">
        <f t="shared" si="14"/>
        <v>0.65</v>
      </c>
      <c r="AU37" s="227"/>
      <c r="AV37" s="227"/>
      <c r="AW37" s="226">
        <f t="shared" si="15"/>
        <v>0.65</v>
      </c>
      <c r="AX37" s="226"/>
      <c r="AY37" s="226"/>
      <c r="AZ37" s="226"/>
      <c r="BH37" s="7"/>
      <c r="BI37" s="10"/>
      <c r="BJ37" s="10"/>
      <c r="BK37" s="10"/>
      <c r="BL37" s="10"/>
      <c r="BM37" s="10"/>
      <c r="BN37" s="10"/>
      <c r="BO37" s="10"/>
      <c r="BP37" s="10"/>
      <c r="BQ37" s="8"/>
    </row>
    <row r="38" spans="25:70">
      <c r="Y38" s="7"/>
      <c r="Z38" s="10"/>
      <c r="AA38" s="10"/>
      <c r="AB38" s="10"/>
      <c r="AC38" s="10"/>
      <c r="AD38" s="10"/>
      <c r="AE38" s="10"/>
      <c r="AF38" s="10"/>
      <c r="AG38" s="10"/>
      <c r="AH38" s="8"/>
      <c r="AI38">
        <f>'2.自重'!DA38+1</f>
        <v>6</v>
      </c>
      <c r="BR38">
        <f>AI38+1</f>
        <v>7</v>
      </c>
    </row>
  </sheetData>
  <sheetProtection sheet="1" objects="1" scenarios="1"/>
  <mergeCells count="192">
    <mergeCell ref="T25:Y25"/>
    <mergeCell ref="P16:S16"/>
    <mergeCell ref="P17:S17"/>
    <mergeCell ref="P18:S18"/>
    <mergeCell ref="P19:S19"/>
    <mergeCell ref="P20:S20"/>
    <mergeCell ref="P21:S21"/>
    <mergeCell ref="P22:S22"/>
    <mergeCell ref="P23:S23"/>
    <mergeCell ref="P24:S24"/>
    <mergeCell ref="P25:S25"/>
    <mergeCell ref="BB12:BE12"/>
    <mergeCell ref="AU12:AW12"/>
    <mergeCell ref="AT28:AV28"/>
    <mergeCell ref="AQ7:AT7"/>
    <mergeCell ref="AX7:BA7"/>
    <mergeCell ref="AX8:BA8"/>
    <mergeCell ref="AX9:BA9"/>
    <mergeCell ref="AX10:BA10"/>
    <mergeCell ref="AX11:BA11"/>
    <mergeCell ref="BB5:BE5"/>
    <mergeCell ref="BB6:BE6"/>
    <mergeCell ref="BB7:BE7"/>
    <mergeCell ref="BB8:BE8"/>
    <mergeCell ref="BB9:BE9"/>
    <mergeCell ref="BB10:BE10"/>
    <mergeCell ref="BB11:BE11"/>
    <mergeCell ref="L20:O20"/>
    <mergeCell ref="AQ3:AT3"/>
    <mergeCell ref="AO6:AP6"/>
    <mergeCell ref="AQ6:AT6"/>
    <mergeCell ref="AO7:AP7"/>
    <mergeCell ref="AQ4:AT4"/>
    <mergeCell ref="AO8:AP8"/>
    <mergeCell ref="AQ8:AT8"/>
    <mergeCell ref="AQ5:AT5"/>
    <mergeCell ref="AO9:AP9"/>
    <mergeCell ref="AQ9:AT9"/>
    <mergeCell ref="L5:N5"/>
    <mergeCell ref="Z20:AB20"/>
    <mergeCell ref="R5:U5"/>
    <mergeCell ref="Z19:AB19"/>
    <mergeCell ref="AN12:AP12"/>
    <mergeCell ref="L4:N4"/>
    <mergeCell ref="BF12:BH12"/>
    <mergeCell ref="AU3:AW3"/>
    <mergeCell ref="AU4:AW4"/>
    <mergeCell ref="AU5:AW5"/>
    <mergeCell ref="AU6:AW6"/>
    <mergeCell ref="AU7:AW7"/>
    <mergeCell ref="AU8:AW8"/>
    <mergeCell ref="AU9:AW9"/>
    <mergeCell ref="AU10:AW10"/>
    <mergeCell ref="BF3:BH3"/>
    <mergeCell ref="BF4:BH4"/>
    <mergeCell ref="BF5:BH5"/>
    <mergeCell ref="BF6:BH6"/>
    <mergeCell ref="BF7:BH7"/>
    <mergeCell ref="BF8:BH8"/>
    <mergeCell ref="BF9:BH9"/>
    <mergeCell ref="BF10:BH10"/>
    <mergeCell ref="BF11:BH11"/>
    <mergeCell ref="AX4:BA4"/>
    <mergeCell ref="AX5:BA5"/>
    <mergeCell ref="AX3:BA3"/>
    <mergeCell ref="AX12:BA12"/>
    <mergeCell ref="BB3:BE3"/>
    <mergeCell ref="BB4:BE4"/>
    <mergeCell ref="Z21:AB21"/>
    <mergeCell ref="L6:N6"/>
    <mergeCell ref="E25:G25"/>
    <mergeCell ref="H25:K25"/>
    <mergeCell ref="L23:O23"/>
    <mergeCell ref="L24:O24"/>
    <mergeCell ref="L25:O25"/>
    <mergeCell ref="F22:G22"/>
    <mergeCell ref="H22:K22"/>
    <mergeCell ref="L21:O21"/>
    <mergeCell ref="L22:O22"/>
    <mergeCell ref="H7:K7"/>
    <mergeCell ref="H8:K8"/>
    <mergeCell ref="F24:G24"/>
    <mergeCell ref="H24:K24"/>
    <mergeCell ref="F23:G23"/>
    <mergeCell ref="H23:K23"/>
    <mergeCell ref="H17:K17"/>
    <mergeCell ref="F19:G19"/>
    <mergeCell ref="H19:K19"/>
    <mergeCell ref="F20:G20"/>
    <mergeCell ref="H20:K20"/>
    <mergeCell ref="F21:G21"/>
    <mergeCell ref="L8:N8"/>
    <mergeCell ref="AQ29:AS29"/>
    <mergeCell ref="R6:U6"/>
    <mergeCell ref="AU11:AW11"/>
    <mergeCell ref="AO11:AP11"/>
    <mergeCell ref="AQ11:AT11"/>
    <mergeCell ref="AO10:AP10"/>
    <mergeCell ref="AT29:AV29"/>
    <mergeCell ref="AQ28:AS28"/>
    <mergeCell ref="AQ10:AT10"/>
    <mergeCell ref="AW29:AZ29"/>
    <mergeCell ref="AW28:AZ28"/>
    <mergeCell ref="R7:U7"/>
    <mergeCell ref="R8:U8"/>
    <mergeCell ref="T18:Y18"/>
    <mergeCell ref="T19:Y19"/>
    <mergeCell ref="T20:Y20"/>
    <mergeCell ref="T21:Y21"/>
    <mergeCell ref="T22:Y22"/>
    <mergeCell ref="AX6:BA6"/>
    <mergeCell ref="AQ12:AT12"/>
    <mergeCell ref="T23:Y23"/>
    <mergeCell ref="T24:Y24"/>
    <mergeCell ref="T16:Y16"/>
    <mergeCell ref="T17:Y17"/>
    <mergeCell ref="AO34:AP34"/>
    <mergeCell ref="AQ34:AS34"/>
    <mergeCell ref="AT34:AV34"/>
    <mergeCell ref="AO33:AP33"/>
    <mergeCell ref="AT31:AV31"/>
    <mergeCell ref="AQ30:AS30"/>
    <mergeCell ref="AW30:AZ30"/>
    <mergeCell ref="AW31:AZ31"/>
    <mergeCell ref="AW32:AZ32"/>
    <mergeCell ref="AW33:AZ33"/>
    <mergeCell ref="AW34:AZ34"/>
    <mergeCell ref="AO32:AP32"/>
    <mergeCell ref="AQ32:AS32"/>
    <mergeCell ref="AT32:AV32"/>
    <mergeCell ref="AO31:AP31"/>
    <mergeCell ref="AQ31:AS31"/>
    <mergeCell ref="AT30:AV30"/>
    <mergeCell ref="AQ33:AS33"/>
    <mergeCell ref="AT33:AV33"/>
    <mergeCell ref="AN37:AP37"/>
    <mergeCell ref="AQ37:AS37"/>
    <mergeCell ref="AT37:AV37"/>
    <mergeCell ref="AO36:AP36"/>
    <mergeCell ref="AQ36:AS36"/>
    <mergeCell ref="AT36:AV36"/>
    <mergeCell ref="AO35:AP35"/>
    <mergeCell ref="AQ35:AS35"/>
    <mergeCell ref="AT35:AV35"/>
    <mergeCell ref="AW35:AZ35"/>
    <mergeCell ref="AW36:AZ36"/>
    <mergeCell ref="AW37:AZ37"/>
    <mergeCell ref="F12:G12"/>
    <mergeCell ref="E13:G13"/>
    <mergeCell ref="F7:G7"/>
    <mergeCell ref="L13:N13"/>
    <mergeCell ref="Z17:AB17"/>
    <mergeCell ref="Z16:AB16"/>
    <mergeCell ref="F10:G10"/>
    <mergeCell ref="R11:U11"/>
    <mergeCell ref="R12:U12"/>
    <mergeCell ref="R13:U13"/>
    <mergeCell ref="H12:K12"/>
    <mergeCell ref="H13:K13"/>
    <mergeCell ref="L16:O16"/>
    <mergeCell ref="L12:N12"/>
    <mergeCell ref="L17:O17"/>
    <mergeCell ref="O7:Q13"/>
    <mergeCell ref="L11:N11"/>
    <mergeCell ref="F11:G11"/>
    <mergeCell ref="L7:N7"/>
    <mergeCell ref="F8:G8"/>
    <mergeCell ref="F9:G9"/>
    <mergeCell ref="H4:K4"/>
    <mergeCell ref="H5:K5"/>
    <mergeCell ref="H6:K6"/>
    <mergeCell ref="Z22:AB22"/>
    <mergeCell ref="Z23:AB23"/>
    <mergeCell ref="Z24:AB24"/>
    <mergeCell ref="Z25:AB25"/>
    <mergeCell ref="H21:K21"/>
    <mergeCell ref="O4:Q4"/>
    <mergeCell ref="O6:Q6"/>
    <mergeCell ref="H9:K9"/>
    <mergeCell ref="H10:K10"/>
    <mergeCell ref="H11:K11"/>
    <mergeCell ref="Z18:AB18"/>
    <mergeCell ref="H18:K18"/>
    <mergeCell ref="R9:U9"/>
    <mergeCell ref="R10:U10"/>
    <mergeCell ref="H16:K16"/>
    <mergeCell ref="L9:N9"/>
    <mergeCell ref="L10:N10"/>
    <mergeCell ref="R4:U4"/>
    <mergeCell ref="O5:Q5"/>
    <mergeCell ref="L18:O18"/>
    <mergeCell ref="L19:O19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1" manualBreakCount="1">
    <brk id="35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CCBB3-6A26-43CB-8C6C-100321CBEF03}">
  <dimension ref="A1:BR38"/>
  <sheetViews>
    <sheetView showGridLines="0" view="pageBreakPreview" zoomScale="60" zoomScaleNormal="65" workbookViewId="0">
      <selection activeCell="A2" sqref="A2"/>
    </sheetView>
  </sheetViews>
  <sheetFormatPr defaultRowHeight="18"/>
  <cols>
    <col min="1" max="70" width="3" customWidth="1"/>
  </cols>
  <sheetData>
    <row r="1" spans="1:58" ht="18" customHeight="1">
      <c r="A1" t="s">
        <v>503</v>
      </c>
    </row>
    <row r="2" spans="1:58" ht="18" customHeight="1">
      <c r="B2" t="s">
        <v>429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AL2" s="3" t="s">
        <v>506</v>
      </c>
      <c r="BB2" s="21"/>
      <c r="BC2" s="12"/>
      <c r="BD2" s="12"/>
    </row>
    <row r="3" spans="1:58" ht="18" customHeight="1">
      <c r="B3" s="3" t="s">
        <v>504</v>
      </c>
      <c r="C3" s="3"/>
      <c r="D3" s="3"/>
      <c r="E3" s="3"/>
      <c r="AM3" s="3" t="s">
        <v>419</v>
      </c>
      <c r="BB3" s="21"/>
      <c r="BC3" s="12"/>
      <c r="BD3" s="12"/>
    </row>
    <row r="4" spans="1:58" ht="18" customHeight="1">
      <c r="I4" s="333" t="s">
        <v>94</v>
      </c>
      <c r="J4" s="334"/>
      <c r="K4" s="334"/>
      <c r="L4" s="335" t="s">
        <v>95</v>
      </c>
      <c r="M4" s="334"/>
      <c r="N4" s="334"/>
      <c r="O4" s="128" t="s">
        <v>96</v>
      </c>
      <c r="P4" s="129"/>
      <c r="Q4" s="129"/>
      <c r="R4" s="129"/>
      <c r="S4" s="129"/>
      <c r="T4" s="130"/>
      <c r="U4" s="128" t="s">
        <v>97</v>
      </c>
      <c r="V4" s="129"/>
      <c r="W4" s="129"/>
      <c r="X4" s="129"/>
      <c r="Y4" s="129"/>
      <c r="Z4" s="129"/>
      <c r="AA4" s="129"/>
      <c r="AB4" s="130"/>
      <c r="AM4" s="259" t="s">
        <v>113</v>
      </c>
      <c r="AN4" s="259"/>
      <c r="AO4" s="292" t="s">
        <v>2</v>
      </c>
      <c r="AP4" s="293" t="s">
        <v>420</v>
      </c>
      <c r="AQ4" s="293"/>
      <c r="AR4" s="101" t="s">
        <v>115</v>
      </c>
      <c r="AS4" s="100" t="s">
        <v>421</v>
      </c>
      <c r="AT4" s="320" t="s">
        <v>422</v>
      </c>
      <c r="AU4" s="320"/>
      <c r="AV4" s="93" t="s">
        <v>423</v>
      </c>
      <c r="AW4" s="3"/>
      <c r="AX4" s="3"/>
      <c r="AY4" s="3"/>
      <c r="AZ4" s="3"/>
    </row>
    <row r="5" spans="1:58" ht="18" customHeight="1">
      <c r="I5" s="348" t="s">
        <v>98</v>
      </c>
      <c r="J5" s="332"/>
      <c r="K5" s="332"/>
      <c r="L5" s="331" t="s">
        <v>89</v>
      </c>
      <c r="M5" s="332"/>
      <c r="N5" s="332"/>
      <c r="O5" s="331" t="s">
        <v>99</v>
      </c>
      <c r="P5" s="332"/>
      <c r="Q5" s="332"/>
      <c r="R5" s="331" t="s">
        <v>100</v>
      </c>
      <c r="S5" s="332"/>
      <c r="T5" s="332"/>
      <c r="U5" s="331" t="s">
        <v>158</v>
      </c>
      <c r="V5" s="332"/>
      <c r="W5" s="332"/>
      <c r="X5" s="332"/>
      <c r="Y5" s="331" t="s">
        <v>159</v>
      </c>
      <c r="Z5" s="332"/>
      <c r="AA5" s="332"/>
      <c r="AB5" s="336"/>
      <c r="AM5" s="259"/>
      <c r="AN5" s="259"/>
      <c r="AO5" s="292"/>
      <c r="AP5" s="3"/>
      <c r="AQ5" s="3"/>
      <c r="AR5" s="260" t="s">
        <v>187</v>
      </c>
      <c r="AS5" s="260"/>
      <c r="AT5" s="3"/>
      <c r="AU5" s="3"/>
      <c r="AV5" s="3"/>
      <c r="AW5" s="3"/>
      <c r="AX5" s="3"/>
      <c r="AY5" s="3"/>
      <c r="AZ5" s="3"/>
    </row>
    <row r="6" spans="1:58" ht="18" customHeight="1">
      <c r="F6" s="10"/>
      <c r="G6" s="10"/>
      <c r="H6" s="10"/>
      <c r="I6" s="328" t="s">
        <v>101</v>
      </c>
      <c r="J6" s="320"/>
      <c r="K6" s="320"/>
      <c r="L6" s="329" t="s">
        <v>101</v>
      </c>
      <c r="M6" s="320"/>
      <c r="N6" s="320"/>
      <c r="O6" s="329" t="s">
        <v>102</v>
      </c>
      <c r="P6" s="320"/>
      <c r="Q6" s="320"/>
      <c r="R6" s="329" t="s">
        <v>102</v>
      </c>
      <c r="S6" s="320"/>
      <c r="T6" s="320"/>
      <c r="U6" s="329" t="s">
        <v>445</v>
      </c>
      <c r="V6" s="320"/>
      <c r="W6" s="320"/>
      <c r="X6" s="330"/>
      <c r="Y6" s="329" t="s">
        <v>445</v>
      </c>
      <c r="Z6" s="320"/>
      <c r="AA6" s="320"/>
      <c r="AB6" s="330"/>
      <c r="AM6" s="3" t="s">
        <v>424</v>
      </c>
    </row>
    <row r="7" spans="1:58" ht="18" customHeight="1">
      <c r="C7" s="337" t="s">
        <v>103</v>
      </c>
      <c r="D7" s="338"/>
      <c r="E7" s="339"/>
      <c r="F7" s="110">
        <f>'2.自重'!BW29</f>
        <v>6</v>
      </c>
      <c r="G7" s="334" t="str">
        <f>'2.自重'!BX29</f>
        <v>段目</v>
      </c>
      <c r="H7" s="340"/>
      <c r="I7" s="302" cm="1">
        <f t="array" ref="I7">_xlfn.IFS(F7&lt;='1.設計条件'!BG$6, '2.自重'!CJ$13,F7=('1.設計条件'!BG$6+1),'2.自重'!CJ$10,TRUE, "")</f>
        <v>20.239999999999995</v>
      </c>
      <c r="J7" s="303"/>
      <c r="K7" s="303"/>
      <c r="L7" s="305" t="s">
        <v>82</v>
      </c>
      <c r="M7" s="297"/>
      <c r="N7" s="297"/>
      <c r="O7" s="304">
        <f>'2.自重'!CL29</f>
        <v>2.81</v>
      </c>
      <c r="P7" s="303"/>
      <c r="Q7" s="303"/>
      <c r="R7" s="305" t="s">
        <v>82</v>
      </c>
      <c r="S7" s="297"/>
      <c r="T7" s="297"/>
      <c r="U7" s="304">
        <f t="shared" ref="U7:U13" si="0">IF(PRODUCT(I7,O7)=0,"",PRODUCT(I7,O7))</f>
        <v>56.874399999999987</v>
      </c>
      <c r="V7" s="303"/>
      <c r="W7" s="303"/>
      <c r="X7" s="303"/>
      <c r="Y7" s="298" t="str">
        <f>IF(PRODUCT(L7,R7)=0,"－",PRODUCT(L7,R7))</f>
        <v>－</v>
      </c>
      <c r="Z7" s="297"/>
      <c r="AA7" s="297"/>
      <c r="AB7" s="299"/>
      <c r="AM7" s="259" t="s">
        <v>113</v>
      </c>
      <c r="AN7" s="259"/>
      <c r="AO7" s="292" t="s">
        <v>2</v>
      </c>
      <c r="AP7" s="293" t="s">
        <v>161</v>
      </c>
      <c r="AQ7" s="293"/>
      <c r="AR7" s="28" t="s">
        <v>114</v>
      </c>
      <c r="AS7" s="29" t="s">
        <v>115</v>
      </c>
      <c r="AT7" s="3"/>
      <c r="AU7" s="292" t="s">
        <v>2</v>
      </c>
      <c r="AV7" s="294">
        <f>I22</f>
        <v>116.33949065975537</v>
      </c>
      <c r="AW7" s="294"/>
      <c r="AX7" s="294"/>
      <c r="AY7" s="28" t="s">
        <v>114</v>
      </c>
      <c r="AZ7" s="295">
        <f>'1.設計条件'!T30</f>
        <v>0.6</v>
      </c>
      <c r="BA7" s="296"/>
      <c r="BB7" s="3"/>
      <c r="BC7" s="292" t="s">
        <v>2</v>
      </c>
      <c r="BD7" s="262">
        <f>AV7/AX8*AZ7</f>
        <v>1.6932745769771029</v>
      </c>
      <c r="BE7" s="262"/>
      <c r="BF7" s="262"/>
    </row>
    <row r="8" spans="1:58" ht="18" customHeight="1">
      <c r="C8" s="69"/>
      <c r="D8" s="109"/>
      <c r="E8" s="70"/>
      <c r="F8" s="71">
        <f>'2.自重'!BW30</f>
        <v>5</v>
      </c>
      <c r="G8" s="300" t="str">
        <f>'2.自重'!BX30</f>
        <v>段目</v>
      </c>
      <c r="H8" s="301"/>
      <c r="I8" s="302" cm="1">
        <f t="array" ref="I8">_xlfn.IFS(F8&lt;='1.設計条件'!BG$6, '2.自重'!CJ$13,F8=('1.設計条件'!BG$6+1),'2.自重'!CJ$10,TRUE, "")</f>
        <v>25.3</v>
      </c>
      <c r="J8" s="303"/>
      <c r="K8" s="303"/>
      <c r="L8" s="305" t="s">
        <v>82</v>
      </c>
      <c r="M8" s="297"/>
      <c r="N8" s="297"/>
      <c r="O8" s="304">
        <f>'2.自重'!CL30</f>
        <v>2.4500000000000002</v>
      </c>
      <c r="P8" s="303"/>
      <c r="Q8" s="303"/>
      <c r="R8" s="305" t="s">
        <v>82</v>
      </c>
      <c r="S8" s="297"/>
      <c r="T8" s="297"/>
      <c r="U8" s="304">
        <f t="shared" si="0"/>
        <v>61.985000000000007</v>
      </c>
      <c r="V8" s="303"/>
      <c r="W8" s="303"/>
      <c r="X8" s="303"/>
      <c r="Y8" s="298" t="str">
        <f>IF(PRODUCT(L8,R8)=0,"－",PRODUCT(L8,R8))</f>
        <v>－</v>
      </c>
      <c r="Z8" s="297"/>
      <c r="AA8" s="297"/>
      <c r="AB8" s="299"/>
      <c r="AM8" s="259"/>
      <c r="AN8" s="259"/>
      <c r="AO8" s="292"/>
      <c r="AP8" s="3"/>
      <c r="AQ8" s="260" t="s">
        <v>162</v>
      </c>
      <c r="AR8" s="260"/>
      <c r="AS8" s="3"/>
      <c r="AT8" s="3"/>
      <c r="AU8" s="292"/>
      <c r="AV8" s="3"/>
      <c r="AW8" s="3"/>
      <c r="AX8" s="297">
        <f>L22</f>
        <v>41.224084590267331</v>
      </c>
      <c r="AY8" s="297"/>
      <c r="AZ8" s="297"/>
      <c r="BA8" s="3"/>
      <c r="BB8" s="3"/>
      <c r="BC8" s="292"/>
      <c r="BD8" s="262"/>
      <c r="BE8" s="262"/>
      <c r="BF8" s="262"/>
    </row>
    <row r="9" spans="1:58" ht="18" customHeight="1">
      <c r="C9" s="69"/>
      <c r="D9" s="109"/>
      <c r="E9" s="70"/>
      <c r="F9" s="71">
        <f>'2.自重'!BW31</f>
        <v>4</v>
      </c>
      <c r="G9" s="300" t="str">
        <f>'2.自重'!BX31</f>
        <v>段目</v>
      </c>
      <c r="H9" s="301"/>
      <c r="I9" s="302" cm="1">
        <f t="array" ref="I9">_xlfn.IFS(F9&lt;='1.設計条件'!BG$6, '2.自重'!CJ$13,F9=('1.設計条件'!BG$6+1),'2.自重'!CJ$10,TRUE, "")</f>
        <v>25.3</v>
      </c>
      <c r="J9" s="303"/>
      <c r="K9" s="303"/>
      <c r="L9" s="305" t="s">
        <v>82</v>
      </c>
      <c r="M9" s="297"/>
      <c r="N9" s="297"/>
      <c r="O9" s="304">
        <f>'2.自重'!CL31</f>
        <v>2.0500000000000003</v>
      </c>
      <c r="P9" s="303"/>
      <c r="Q9" s="303"/>
      <c r="R9" s="305" t="s">
        <v>82</v>
      </c>
      <c r="S9" s="297"/>
      <c r="T9" s="297"/>
      <c r="U9" s="304">
        <f t="shared" si="0"/>
        <v>51.865000000000009</v>
      </c>
      <c r="V9" s="303"/>
      <c r="W9" s="303"/>
      <c r="X9" s="303"/>
      <c r="Y9" s="298" t="str">
        <f t="shared" ref="Y9:Y13" si="1">IF(PRODUCT(L9,R9)=0,"－",PRODUCT(L9,R9))</f>
        <v>－</v>
      </c>
      <c r="Z9" s="297"/>
      <c r="AA9" s="297"/>
      <c r="AB9" s="299"/>
      <c r="AM9" s="3" t="s">
        <v>112</v>
      </c>
    </row>
    <row r="10" spans="1:58" ht="18" customHeight="1">
      <c r="C10" s="69"/>
      <c r="D10" s="109"/>
      <c r="E10" s="70"/>
      <c r="F10" s="71">
        <f>'2.自重'!BW32</f>
        <v>3</v>
      </c>
      <c r="G10" s="300" t="str">
        <f>'2.自重'!BX32</f>
        <v>段目</v>
      </c>
      <c r="H10" s="301"/>
      <c r="I10" s="302" cm="1">
        <f t="array" ref="I10">_xlfn.IFS(F10&lt;='1.設計条件'!BG$6, '2.自重'!CJ$13,F10=('1.設計条件'!BG$6+1),'2.自重'!CJ$10,TRUE, "")</f>
        <v>25.3</v>
      </c>
      <c r="J10" s="303"/>
      <c r="K10" s="303"/>
      <c r="L10" s="305" t="s">
        <v>82</v>
      </c>
      <c r="M10" s="297"/>
      <c r="N10" s="297"/>
      <c r="O10" s="304">
        <f>'2.自重'!CL32</f>
        <v>1.65</v>
      </c>
      <c r="P10" s="303"/>
      <c r="Q10" s="303"/>
      <c r="R10" s="305" t="s">
        <v>82</v>
      </c>
      <c r="S10" s="297"/>
      <c r="T10" s="297"/>
      <c r="U10" s="304">
        <f t="shared" si="0"/>
        <v>41.744999999999997</v>
      </c>
      <c r="V10" s="303"/>
      <c r="W10" s="303"/>
      <c r="X10" s="303"/>
      <c r="Y10" s="298" t="str">
        <f t="shared" si="1"/>
        <v>－</v>
      </c>
      <c r="Z10" s="297"/>
      <c r="AA10" s="297"/>
      <c r="AB10" s="299"/>
      <c r="AM10" s="288" t="s">
        <v>113</v>
      </c>
      <c r="AN10" s="289"/>
      <c r="AO10" s="22" t="s">
        <v>107</v>
      </c>
      <c r="AP10" s="154">
        <f>AV7/AX8*AZ7</f>
        <v>1.6932745769771029</v>
      </c>
      <c r="AQ10" s="154"/>
      <c r="AR10" s="155"/>
      <c r="AS10" s="26" t="str">
        <f>IF(AP10&lt;=AX10, "&lt;", "≧")</f>
        <v>≧</v>
      </c>
      <c r="AT10" s="128" t="s">
        <v>116</v>
      </c>
      <c r="AU10" s="129"/>
      <c r="AV10" s="129"/>
      <c r="AW10" s="129"/>
      <c r="AX10" s="290">
        <f>'1.設計条件'!AT35</f>
        <v>1.5</v>
      </c>
      <c r="AY10" s="291"/>
      <c r="AZ10" s="3"/>
      <c r="BA10" s="3"/>
      <c r="BB10" s="128" t="str">
        <f>IF(AS10="≧", "OK", "NG")</f>
        <v>OK</v>
      </c>
      <c r="BC10" s="130"/>
    </row>
    <row r="11" spans="1:58" ht="18" customHeight="1">
      <c r="C11" s="69"/>
      <c r="D11" s="109"/>
      <c r="E11" s="70"/>
      <c r="F11" s="71">
        <f>'2.自重'!BW33</f>
        <v>2</v>
      </c>
      <c r="G11" s="300" t="str">
        <f>'2.自重'!BX33</f>
        <v>段目</v>
      </c>
      <c r="H11" s="301"/>
      <c r="I11" s="302" cm="1">
        <f t="array" ref="I11">_xlfn.IFS(F11&lt;='1.設計条件'!BG$6, '2.自重'!CJ$13,F11=('1.設計条件'!BG$6+1),'2.自重'!CJ$10,TRUE, "")</f>
        <v>25.3</v>
      </c>
      <c r="J11" s="303"/>
      <c r="K11" s="303"/>
      <c r="L11" s="305" t="s">
        <v>82</v>
      </c>
      <c r="M11" s="297"/>
      <c r="N11" s="297"/>
      <c r="O11" s="304">
        <f>'2.自重'!CL33</f>
        <v>1.25</v>
      </c>
      <c r="P11" s="303"/>
      <c r="Q11" s="303"/>
      <c r="R11" s="305" t="s">
        <v>82</v>
      </c>
      <c r="S11" s="297"/>
      <c r="T11" s="297"/>
      <c r="U11" s="304">
        <f t="shared" si="0"/>
        <v>31.625</v>
      </c>
      <c r="V11" s="303"/>
      <c r="W11" s="303"/>
      <c r="X11" s="303"/>
      <c r="Y11" s="298" t="str">
        <f t="shared" si="1"/>
        <v>－</v>
      </c>
      <c r="Z11" s="297"/>
      <c r="AA11" s="297"/>
      <c r="AB11" s="299"/>
    </row>
    <row r="12" spans="1:58" ht="18" customHeight="1">
      <c r="C12" s="69"/>
      <c r="D12" s="109"/>
      <c r="E12" s="70"/>
      <c r="F12" s="71">
        <f>'2.自重'!BW34</f>
        <v>1</v>
      </c>
      <c r="G12" s="300" t="str">
        <f>'2.自重'!BX34</f>
        <v>段目</v>
      </c>
      <c r="H12" s="301"/>
      <c r="I12" s="302" cm="1">
        <f t="array" ref="I12">_xlfn.IFS(F12&lt;='1.設計条件'!BG$6, '2.自重'!CJ$13,F12=('1.設計条件'!BG$6+1),'2.自重'!CJ$10,TRUE, "")</f>
        <v>25.3</v>
      </c>
      <c r="J12" s="303"/>
      <c r="K12" s="303"/>
      <c r="L12" s="305" t="s">
        <v>82</v>
      </c>
      <c r="M12" s="297"/>
      <c r="N12" s="297"/>
      <c r="O12" s="304">
        <f>'2.自重'!CL34</f>
        <v>0.85</v>
      </c>
      <c r="P12" s="303"/>
      <c r="Q12" s="303"/>
      <c r="R12" s="305" t="s">
        <v>82</v>
      </c>
      <c r="S12" s="297"/>
      <c r="T12" s="297"/>
      <c r="U12" s="304">
        <f t="shared" si="0"/>
        <v>21.504999999999999</v>
      </c>
      <c r="V12" s="303"/>
      <c r="W12" s="303"/>
      <c r="X12" s="303"/>
      <c r="Y12" s="298" t="str">
        <f t="shared" si="1"/>
        <v>－</v>
      </c>
      <c r="Z12" s="297"/>
      <c r="AA12" s="297"/>
      <c r="AB12" s="299"/>
    </row>
    <row r="13" spans="1:58" ht="18" customHeight="1">
      <c r="C13" s="69"/>
      <c r="D13" s="109"/>
      <c r="E13" s="70"/>
      <c r="F13" s="327" t="s">
        <v>294</v>
      </c>
      <c r="G13" s="300"/>
      <c r="H13" s="301"/>
      <c r="I13" s="303">
        <f>'2.自重'!CJ14</f>
        <v>8.9700000000000006</v>
      </c>
      <c r="J13" s="303"/>
      <c r="K13" s="303"/>
      <c r="L13" s="305" t="s">
        <v>82</v>
      </c>
      <c r="M13" s="297"/>
      <c r="N13" s="297"/>
      <c r="O13" s="304">
        <f>'2.自重'!CL35</f>
        <v>0.65</v>
      </c>
      <c r="P13" s="303"/>
      <c r="Q13" s="303"/>
      <c r="R13" s="305" t="s">
        <v>82</v>
      </c>
      <c r="S13" s="297"/>
      <c r="T13" s="297"/>
      <c r="U13" s="304">
        <f t="shared" si="0"/>
        <v>5.8305000000000007</v>
      </c>
      <c r="V13" s="303"/>
      <c r="W13" s="303"/>
      <c r="X13" s="303"/>
      <c r="Y13" s="298" t="str">
        <f t="shared" si="1"/>
        <v>－</v>
      </c>
      <c r="Z13" s="297"/>
      <c r="AA13" s="297"/>
      <c r="AB13" s="299"/>
    </row>
    <row r="14" spans="1:58" ht="18" customHeight="1">
      <c r="C14" s="325" t="s">
        <v>104</v>
      </c>
      <c r="D14" s="325"/>
      <c r="E14" s="128"/>
      <c r="F14" s="130"/>
      <c r="G14" s="325"/>
      <c r="H14" s="325"/>
      <c r="I14" s="322">
        <f>'2.土圧'!BX26</f>
        <v>1.1034906597554093</v>
      </c>
      <c r="J14" s="322"/>
      <c r="K14" s="322"/>
      <c r="L14" s="321">
        <f>'2.土圧'!BX21</f>
        <v>41.224084590267331</v>
      </c>
      <c r="M14" s="322"/>
      <c r="N14" s="322"/>
      <c r="O14" s="321">
        <f>'2.土圧'!BX35</f>
        <v>1.8933333333333335</v>
      </c>
      <c r="P14" s="322"/>
      <c r="Q14" s="322"/>
      <c r="R14" s="321">
        <f>'2.土圧'!BX31</f>
        <v>2.0333333333333332</v>
      </c>
      <c r="S14" s="322"/>
      <c r="T14" s="322"/>
      <c r="U14" s="321">
        <f>IF(PRODUCT(I14,O14)=0,"",PRODUCT(I14,O14))</f>
        <v>2.0892756491369084</v>
      </c>
      <c r="V14" s="322"/>
      <c r="W14" s="322"/>
      <c r="X14" s="322"/>
      <c r="Y14" s="323">
        <f>IF(PRODUCT(L14,R14)=0,"",PRODUCT(L14,R14))</f>
        <v>83.822305333543568</v>
      </c>
      <c r="Z14" s="322"/>
      <c r="AA14" s="322"/>
      <c r="AB14" s="324"/>
    </row>
    <row r="15" spans="1:58" ht="18" customHeight="1">
      <c r="C15" s="337" t="s">
        <v>465</v>
      </c>
      <c r="D15" s="338"/>
      <c r="E15" s="339"/>
      <c r="F15" s="110">
        <f>'2.浮力'!E19</f>
        <v>6</v>
      </c>
      <c r="G15" s="334" t="str">
        <f>'2.浮力'!F19</f>
        <v>段目</v>
      </c>
      <c r="H15" s="340"/>
      <c r="I15" s="341" t="str">
        <f>'2.浮力'!Z19</f>
        <v/>
      </c>
      <c r="J15" s="342"/>
      <c r="K15" s="342"/>
      <c r="L15" s="343" t="s">
        <v>82</v>
      </c>
      <c r="M15" s="344"/>
      <c r="N15" s="344"/>
      <c r="O15" s="345" t="str">
        <f>'2.浮力'!AW31</f>
        <v/>
      </c>
      <c r="P15" s="342"/>
      <c r="Q15" s="342"/>
      <c r="R15" s="343" t="s">
        <v>82</v>
      </c>
      <c r="S15" s="344"/>
      <c r="T15" s="344"/>
      <c r="U15" s="345" t="str">
        <f t="shared" ref="U15:U21" si="2">IF(PRODUCT(I15,O15)=0,"",PRODUCT(I15,O15))</f>
        <v/>
      </c>
      <c r="V15" s="342"/>
      <c r="W15" s="342"/>
      <c r="X15" s="342"/>
      <c r="Y15" s="346" t="str">
        <f t="shared" ref="Y15:Y21" si="3">IF(PRODUCT(L15,R15)=0,"－",PRODUCT(L15,R15))</f>
        <v>－</v>
      </c>
      <c r="Z15" s="344"/>
      <c r="AA15" s="344"/>
      <c r="AB15" s="347"/>
    </row>
    <row r="16" spans="1:58" ht="18" customHeight="1">
      <c r="C16" s="69"/>
      <c r="D16" s="109"/>
      <c r="E16" s="70"/>
      <c r="F16" s="71">
        <f>'2.浮力'!E20</f>
        <v>5</v>
      </c>
      <c r="G16" s="300" t="str">
        <f>'2.浮力'!F20</f>
        <v>段目</v>
      </c>
      <c r="H16" s="301"/>
      <c r="I16" s="302" t="str">
        <f>'2.浮力'!Z20</f>
        <v/>
      </c>
      <c r="J16" s="303"/>
      <c r="K16" s="303"/>
      <c r="L16" s="305" t="s">
        <v>82</v>
      </c>
      <c r="M16" s="297"/>
      <c r="N16" s="297"/>
      <c r="O16" s="304" t="str">
        <f>'2.浮力'!AW32</f>
        <v/>
      </c>
      <c r="P16" s="303"/>
      <c r="Q16" s="303"/>
      <c r="R16" s="305" t="s">
        <v>82</v>
      </c>
      <c r="S16" s="297"/>
      <c r="T16" s="297"/>
      <c r="U16" s="304" t="str">
        <f t="shared" si="2"/>
        <v/>
      </c>
      <c r="V16" s="303"/>
      <c r="W16" s="303"/>
      <c r="X16" s="303"/>
      <c r="Y16" s="298" t="str">
        <f t="shared" si="3"/>
        <v>－</v>
      </c>
      <c r="Z16" s="297"/>
      <c r="AA16" s="297"/>
      <c r="AB16" s="299"/>
    </row>
    <row r="17" spans="2:70" ht="18" customHeight="1">
      <c r="C17" s="69"/>
      <c r="D17" s="109"/>
      <c r="E17" s="70"/>
      <c r="F17" s="71">
        <f>'2.浮力'!E21</f>
        <v>4</v>
      </c>
      <c r="G17" s="300" t="str">
        <f>'2.浮力'!F21</f>
        <v>段目</v>
      </c>
      <c r="H17" s="301"/>
      <c r="I17" s="302">
        <f>'2.浮力'!Z21</f>
        <v>-4.3120000000000047</v>
      </c>
      <c r="J17" s="303"/>
      <c r="K17" s="303"/>
      <c r="L17" s="305" t="s">
        <v>82</v>
      </c>
      <c r="M17" s="297"/>
      <c r="N17" s="297"/>
      <c r="O17" s="304">
        <f>'2.浮力'!AW33</f>
        <v>1.9300000000000004</v>
      </c>
      <c r="P17" s="303"/>
      <c r="Q17" s="303"/>
      <c r="R17" s="305" t="s">
        <v>82</v>
      </c>
      <c r="S17" s="297"/>
      <c r="T17" s="297"/>
      <c r="U17" s="304">
        <f t="shared" si="2"/>
        <v>-8.3221600000000109</v>
      </c>
      <c r="V17" s="303"/>
      <c r="W17" s="303"/>
      <c r="X17" s="303"/>
      <c r="Y17" s="298" t="str">
        <f t="shared" si="3"/>
        <v>－</v>
      </c>
      <c r="Z17" s="297"/>
      <c r="AA17" s="297"/>
      <c r="AB17" s="299"/>
    </row>
    <row r="18" spans="2:70" ht="18" customHeight="1">
      <c r="C18" s="69"/>
      <c r="D18" s="109"/>
      <c r="E18" s="70"/>
      <c r="F18" s="71">
        <f>'2.浮力'!E22</f>
        <v>3</v>
      </c>
      <c r="G18" s="300" t="str">
        <f>'2.浮力'!F22</f>
        <v>段目</v>
      </c>
      <c r="H18" s="301"/>
      <c r="I18" s="302">
        <f>'2.浮力'!Z22</f>
        <v>-10.780000000000001</v>
      </c>
      <c r="J18" s="303"/>
      <c r="K18" s="303"/>
      <c r="L18" s="305" t="s">
        <v>82</v>
      </c>
      <c r="M18" s="297"/>
      <c r="N18" s="297"/>
      <c r="O18" s="304">
        <f>'2.浮力'!AW34</f>
        <v>1.65</v>
      </c>
      <c r="P18" s="303"/>
      <c r="Q18" s="303"/>
      <c r="R18" s="305" t="s">
        <v>82</v>
      </c>
      <c r="S18" s="297"/>
      <c r="T18" s="297"/>
      <c r="U18" s="304">
        <f t="shared" si="2"/>
        <v>-17.787000000000003</v>
      </c>
      <c r="V18" s="303"/>
      <c r="W18" s="303"/>
      <c r="X18" s="303"/>
      <c r="Y18" s="298" t="str">
        <f t="shared" si="3"/>
        <v>－</v>
      </c>
      <c r="Z18" s="297"/>
      <c r="AA18" s="297"/>
      <c r="AB18" s="299"/>
      <c r="BR18" s="3"/>
    </row>
    <row r="19" spans="2:70" ht="18" customHeight="1">
      <c r="C19" s="69"/>
      <c r="D19" s="109"/>
      <c r="E19" s="70"/>
      <c r="F19" s="71">
        <f>'2.浮力'!E23</f>
        <v>2</v>
      </c>
      <c r="G19" s="300" t="str">
        <f>'2.浮力'!F23</f>
        <v>段目</v>
      </c>
      <c r="H19" s="301"/>
      <c r="I19" s="302">
        <f>'2.浮力'!Z23</f>
        <v>-10.780000000000001</v>
      </c>
      <c r="J19" s="303"/>
      <c r="K19" s="303"/>
      <c r="L19" s="305" t="s">
        <v>82</v>
      </c>
      <c r="M19" s="297"/>
      <c r="N19" s="297"/>
      <c r="O19" s="304">
        <f>'2.浮力'!AW35</f>
        <v>1.25</v>
      </c>
      <c r="P19" s="303"/>
      <c r="Q19" s="303"/>
      <c r="R19" s="305" t="s">
        <v>82</v>
      </c>
      <c r="S19" s="297"/>
      <c r="T19" s="297"/>
      <c r="U19" s="304">
        <f t="shared" si="2"/>
        <v>-13.475000000000001</v>
      </c>
      <c r="V19" s="303"/>
      <c r="W19" s="303"/>
      <c r="X19" s="303"/>
      <c r="Y19" s="298" t="str">
        <f t="shared" si="3"/>
        <v>－</v>
      </c>
      <c r="Z19" s="297"/>
      <c r="AA19" s="297"/>
      <c r="AB19" s="299"/>
      <c r="BR19" s="3"/>
    </row>
    <row r="20" spans="2:70" ht="18" customHeight="1">
      <c r="C20" s="69"/>
      <c r="D20" s="109"/>
      <c r="E20" s="70"/>
      <c r="F20" s="71">
        <f>'2.浮力'!E24</f>
        <v>1</v>
      </c>
      <c r="G20" s="300" t="str">
        <f>'2.浮力'!F24</f>
        <v>段目</v>
      </c>
      <c r="H20" s="301"/>
      <c r="I20" s="302">
        <f>'2.浮力'!Z24</f>
        <v>-10.780000000000001</v>
      </c>
      <c r="J20" s="303"/>
      <c r="K20" s="303"/>
      <c r="L20" s="305" t="s">
        <v>82</v>
      </c>
      <c r="M20" s="297"/>
      <c r="N20" s="297"/>
      <c r="O20" s="304">
        <f>'2.浮力'!AW36</f>
        <v>0.85</v>
      </c>
      <c r="P20" s="303"/>
      <c r="Q20" s="303"/>
      <c r="R20" s="305" t="s">
        <v>82</v>
      </c>
      <c r="S20" s="297"/>
      <c r="T20" s="297"/>
      <c r="U20" s="304">
        <f t="shared" si="2"/>
        <v>-9.1630000000000003</v>
      </c>
      <c r="V20" s="303"/>
      <c r="W20" s="303"/>
      <c r="X20" s="303"/>
      <c r="Y20" s="298" t="str">
        <f t="shared" si="3"/>
        <v>－</v>
      </c>
      <c r="Z20" s="297"/>
      <c r="AA20" s="297"/>
      <c r="AB20" s="299"/>
    </row>
    <row r="21" spans="2:70" ht="18" customHeight="1">
      <c r="C21" s="124"/>
      <c r="D21" s="125"/>
      <c r="E21" s="126"/>
      <c r="F21" s="311" t="s">
        <v>294</v>
      </c>
      <c r="G21" s="312"/>
      <c r="H21" s="313"/>
      <c r="I21" s="314">
        <f>'2.浮力'!Z25</f>
        <v>-3.8220000000000005</v>
      </c>
      <c r="J21" s="314"/>
      <c r="K21" s="314"/>
      <c r="L21" s="315" t="s">
        <v>82</v>
      </c>
      <c r="M21" s="294"/>
      <c r="N21" s="294"/>
      <c r="O21" s="316">
        <f>'2.浮力'!AW37</f>
        <v>0.65</v>
      </c>
      <c r="P21" s="314"/>
      <c r="Q21" s="314"/>
      <c r="R21" s="315" t="s">
        <v>82</v>
      </c>
      <c r="S21" s="294"/>
      <c r="T21" s="294"/>
      <c r="U21" s="316">
        <f t="shared" si="2"/>
        <v>-2.4843000000000006</v>
      </c>
      <c r="V21" s="314"/>
      <c r="W21" s="314"/>
      <c r="X21" s="314"/>
      <c r="Y21" s="317" t="str">
        <f t="shared" si="3"/>
        <v>－</v>
      </c>
      <c r="Z21" s="294"/>
      <c r="AA21" s="294"/>
      <c r="AB21" s="318"/>
      <c r="BR21" s="3"/>
    </row>
    <row r="22" spans="2:70" ht="18" customHeight="1">
      <c r="C22" s="325" t="s">
        <v>105</v>
      </c>
      <c r="D22" s="325"/>
      <c r="E22" s="128"/>
      <c r="F22" s="130"/>
      <c r="G22" s="325"/>
      <c r="H22" s="325"/>
      <c r="I22" s="322">
        <f>SUM(I7:I21)</f>
        <v>116.33949065975537</v>
      </c>
      <c r="J22" s="322"/>
      <c r="K22" s="322"/>
      <c r="L22" s="321">
        <f>SUM(L7:L21)</f>
        <v>41.224084590267331</v>
      </c>
      <c r="M22" s="322"/>
      <c r="N22" s="322"/>
      <c r="O22" s="326" t="s">
        <v>106</v>
      </c>
      <c r="P22" s="211"/>
      <c r="Q22" s="211"/>
      <c r="R22" s="326" t="s">
        <v>106</v>
      </c>
      <c r="S22" s="211"/>
      <c r="T22" s="211"/>
      <c r="U22" s="321">
        <f>SUM(U7:U21)</f>
        <v>222.28771564913686</v>
      </c>
      <c r="V22" s="322"/>
      <c r="W22" s="322"/>
      <c r="X22" s="322"/>
      <c r="Y22" s="321">
        <f>SUM(Y7:Y21)</f>
        <v>83.822305333543568</v>
      </c>
      <c r="Z22" s="322"/>
      <c r="AA22" s="322"/>
      <c r="AB22" s="324"/>
      <c r="AC22" s="108"/>
      <c r="AD22" s="108"/>
      <c r="AE22" s="108"/>
      <c r="BR22" s="3"/>
    </row>
    <row r="23" spans="2:70" ht="18" customHeight="1">
      <c r="C23" s="26"/>
      <c r="D23" s="26"/>
      <c r="E23" s="26"/>
      <c r="F23" s="30"/>
      <c r="G23" s="30"/>
      <c r="H23" s="30"/>
      <c r="I23" s="30"/>
      <c r="J23" s="30"/>
      <c r="K23" s="30"/>
      <c r="L23" s="23"/>
      <c r="M23" s="23"/>
      <c r="N23" s="23"/>
      <c r="O23" s="23"/>
      <c r="P23" s="23"/>
      <c r="Q23" s="23"/>
      <c r="R23" s="30"/>
      <c r="S23" s="30"/>
      <c r="T23" s="30"/>
      <c r="U23" s="30"/>
      <c r="V23" s="30"/>
      <c r="W23" s="30"/>
      <c r="X23" s="30"/>
      <c r="Y23" s="30"/>
      <c r="BR23" s="3"/>
    </row>
    <row r="24" spans="2:70" ht="18" customHeight="1">
      <c r="B24" s="3" t="s">
        <v>505</v>
      </c>
      <c r="BR24" s="3"/>
    </row>
    <row r="25" spans="2:70" ht="18" customHeight="1">
      <c r="C25" s="3" t="s">
        <v>153</v>
      </c>
      <c r="E25" s="12"/>
      <c r="F25" s="21"/>
      <c r="G25" s="21"/>
      <c r="H25" s="21"/>
      <c r="J25" s="21"/>
      <c r="K25" s="12"/>
      <c r="L25" s="12"/>
      <c r="N25" s="21"/>
      <c r="O25" s="12"/>
      <c r="P25" s="12"/>
      <c r="R25" s="21"/>
      <c r="S25" s="12"/>
      <c r="BR25" s="3"/>
    </row>
    <row r="26" spans="2:70" ht="18" customHeight="1">
      <c r="C26" s="260" t="s">
        <v>109</v>
      </c>
      <c r="D26" s="260"/>
      <c r="E26" s="292" t="s">
        <v>2</v>
      </c>
      <c r="F26" s="293" t="s">
        <v>110</v>
      </c>
      <c r="G26" s="293"/>
      <c r="H26" s="293"/>
      <c r="I26" s="293"/>
      <c r="J26" s="293"/>
      <c r="K26" s="3"/>
      <c r="L26" s="292" t="s">
        <v>2</v>
      </c>
      <c r="M26" s="294">
        <f>U22</f>
        <v>222.28771564913686</v>
      </c>
      <c r="N26" s="294"/>
      <c r="O26" s="294"/>
      <c r="P26" s="27" t="s">
        <v>111</v>
      </c>
      <c r="Q26" s="294">
        <f>Y22</f>
        <v>83.822305333543568</v>
      </c>
      <c r="R26" s="294"/>
      <c r="S26" s="294"/>
      <c r="U26" s="292" t="s">
        <v>2</v>
      </c>
      <c r="V26" s="216">
        <f>(M26-Q26)/O27</f>
        <v>1.1901840856476416</v>
      </c>
      <c r="W26" s="216"/>
      <c r="X26" s="216"/>
      <c r="Y26" s="254" t="s">
        <v>108</v>
      </c>
      <c r="BR26" s="3"/>
    </row>
    <row r="27" spans="2:70" ht="18" customHeight="1">
      <c r="C27" s="260"/>
      <c r="D27" s="260"/>
      <c r="E27" s="292"/>
      <c r="F27" s="260" t="s">
        <v>160</v>
      </c>
      <c r="G27" s="260"/>
      <c r="H27" s="260"/>
      <c r="I27" s="260"/>
      <c r="J27" s="260"/>
      <c r="K27" s="3"/>
      <c r="L27" s="292"/>
      <c r="M27" s="3"/>
      <c r="N27" s="3"/>
      <c r="O27" s="297">
        <f>I22</f>
        <v>116.33949065975537</v>
      </c>
      <c r="P27" s="297"/>
      <c r="Q27" s="297"/>
      <c r="R27" s="3"/>
      <c r="S27" s="3"/>
      <c r="U27" s="292"/>
      <c r="V27" s="258"/>
      <c r="W27" s="258"/>
      <c r="X27" s="258"/>
      <c r="Y27" s="138"/>
      <c r="Z27" s="10"/>
      <c r="AA27" s="10"/>
      <c r="AB27" s="10"/>
      <c r="AC27" s="10"/>
      <c r="AD27" s="10"/>
      <c r="AE27" s="10"/>
      <c r="AF27" s="10"/>
      <c r="AG27" s="10"/>
    </row>
    <row r="28" spans="2:70" ht="18" customHeight="1">
      <c r="C28" s="3" t="s">
        <v>418</v>
      </c>
      <c r="V28" s="5"/>
      <c r="AG28" s="6"/>
    </row>
    <row r="29" spans="2:70" ht="18" customHeight="1">
      <c r="C29" s="310" t="s">
        <v>35</v>
      </c>
      <c r="D29" s="310"/>
      <c r="F29" s="292" t="s">
        <v>2</v>
      </c>
      <c r="G29" s="294">
        <f>'1.設計条件'!T9</f>
        <v>1.3</v>
      </c>
      <c r="H29" s="320"/>
      <c r="I29" s="320"/>
      <c r="K29" s="254" t="s">
        <v>107</v>
      </c>
      <c r="L29" s="216">
        <f>G29/G30</f>
        <v>0.65</v>
      </c>
      <c r="M29" s="216"/>
      <c r="N29" s="216"/>
      <c r="O29" s="254" t="s">
        <v>108</v>
      </c>
      <c r="P29" s="3"/>
      <c r="Q29" s="3"/>
      <c r="R29" s="3"/>
      <c r="S29" s="3"/>
      <c r="V29" s="5"/>
      <c r="AG29" s="6"/>
    </row>
    <row r="30" spans="2:70" ht="18" customHeight="1">
      <c r="C30" s="319">
        <f>'1.設計条件'!AX34</f>
        <v>2</v>
      </c>
      <c r="D30" s="319"/>
      <c r="F30" s="292"/>
      <c r="G30" s="140">
        <f>C30</f>
        <v>2</v>
      </c>
      <c r="H30" s="140"/>
      <c r="I30" s="140"/>
      <c r="K30" s="254"/>
      <c r="L30" s="216"/>
      <c r="M30" s="216"/>
      <c r="N30" s="216"/>
      <c r="O30" s="254"/>
      <c r="V30" s="5"/>
      <c r="AG30" s="6"/>
    </row>
    <row r="31" spans="2:70" ht="18" customHeight="1">
      <c r="V31" s="5"/>
      <c r="AG31" s="6"/>
    </row>
    <row r="32" spans="2:70" ht="18" customHeight="1">
      <c r="C32" s="3" t="s">
        <v>112</v>
      </c>
      <c r="T32" s="12"/>
      <c r="V32" s="5"/>
      <c r="AG32" s="6"/>
    </row>
    <row r="33" spans="3:70" ht="18" customHeight="1">
      <c r="C33" s="306" t="s">
        <v>157</v>
      </c>
      <c r="D33" s="307"/>
      <c r="E33" s="22" t="s">
        <v>107</v>
      </c>
      <c r="F33" s="154">
        <f>V26</f>
        <v>1.1901840856476416</v>
      </c>
      <c r="G33" s="154"/>
      <c r="H33" s="155"/>
      <c r="I33" s="26" t="str">
        <f>IF(F33&lt;=N33, "≦", "&gt;")</f>
        <v>&gt;</v>
      </c>
      <c r="J33" s="308" t="s">
        <v>163</v>
      </c>
      <c r="K33" s="309"/>
      <c r="L33" s="42">
        <v>2</v>
      </c>
      <c r="M33" s="22" t="s">
        <v>107</v>
      </c>
      <c r="N33" s="154">
        <f>L29</f>
        <v>0.65</v>
      </c>
      <c r="O33" s="154"/>
      <c r="P33" s="155"/>
      <c r="Q33" s="3"/>
      <c r="R33" s="128" t="str">
        <f>IF(I33="&gt;", "OK", "NG")</f>
        <v>OK</v>
      </c>
      <c r="S33" s="130"/>
      <c r="T33" s="12"/>
      <c r="V33" s="5"/>
      <c r="AG33" s="6"/>
    </row>
    <row r="34" spans="3:70" ht="18" customHeight="1">
      <c r="T34" s="12"/>
      <c r="V34" s="5"/>
      <c r="AG34" s="6"/>
    </row>
    <row r="35" spans="3:70" ht="18" customHeight="1">
      <c r="T35" s="12"/>
      <c r="V35" s="7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8"/>
    </row>
    <row r="36" spans="3:70" ht="18" customHeight="1"/>
    <row r="37" spans="3:70" ht="18" customHeight="1"/>
    <row r="38" spans="3:70" ht="18" customHeight="1">
      <c r="AI38">
        <f>'2.土圧'!DA38+1</f>
        <v>11</v>
      </c>
      <c r="BR38">
        <f>AI38+1</f>
        <v>12</v>
      </c>
    </row>
  </sheetData>
  <sheetProtection sheet="1" objects="1" scenarios="1"/>
  <mergeCells count="176">
    <mergeCell ref="C15:E15"/>
    <mergeCell ref="G15:H15"/>
    <mergeCell ref="I15:K15"/>
    <mergeCell ref="L15:N15"/>
    <mergeCell ref="O15:Q15"/>
    <mergeCell ref="R15:T15"/>
    <mergeCell ref="U15:X15"/>
    <mergeCell ref="Y15:AB15"/>
    <mergeCell ref="I5:K5"/>
    <mergeCell ref="L5:N5"/>
    <mergeCell ref="O5:Q5"/>
    <mergeCell ref="R5:T5"/>
    <mergeCell ref="C7:E7"/>
    <mergeCell ref="G7:H7"/>
    <mergeCell ref="I7:K7"/>
    <mergeCell ref="L7:N7"/>
    <mergeCell ref="O7:Q7"/>
    <mergeCell ref="Y9:AB9"/>
    <mergeCell ref="G9:H9"/>
    <mergeCell ref="I9:K9"/>
    <mergeCell ref="L9:N9"/>
    <mergeCell ref="O9:Q9"/>
    <mergeCell ref="R9:T9"/>
    <mergeCell ref="U9:X9"/>
    <mergeCell ref="AM4:AN5"/>
    <mergeCell ref="AO4:AO5"/>
    <mergeCell ref="AP4:AQ4"/>
    <mergeCell ref="AT4:AU4"/>
    <mergeCell ref="AR5:AS5"/>
    <mergeCell ref="Y19:AB19"/>
    <mergeCell ref="I6:K6"/>
    <mergeCell ref="L6:N6"/>
    <mergeCell ref="O6:Q6"/>
    <mergeCell ref="R6:T6"/>
    <mergeCell ref="U6:X6"/>
    <mergeCell ref="Y6:AB6"/>
    <mergeCell ref="R12:T12"/>
    <mergeCell ref="AQ8:AR8"/>
    <mergeCell ref="Y17:AB17"/>
    <mergeCell ref="R7:T7"/>
    <mergeCell ref="U7:X7"/>
    <mergeCell ref="Y7:AB7"/>
    <mergeCell ref="U5:X5"/>
    <mergeCell ref="I4:K4"/>
    <mergeCell ref="L4:N4"/>
    <mergeCell ref="O4:T4"/>
    <mergeCell ref="U4:AB4"/>
    <mergeCell ref="Y5:AB5"/>
    <mergeCell ref="G8:H8"/>
    <mergeCell ref="I8:K8"/>
    <mergeCell ref="L8:N8"/>
    <mergeCell ref="O8:Q8"/>
    <mergeCell ref="R8:T8"/>
    <mergeCell ref="U8:X8"/>
    <mergeCell ref="Y8:AB8"/>
    <mergeCell ref="G11:H11"/>
    <mergeCell ref="I11:K11"/>
    <mergeCell ref="L11:N11"/>
    <mergeCell ref="O11:Q11"/>
    <mergeCell ref="R11:T11"/>
    <mergeCell ref="U11:X11"/>
    <mergeCell ref="Y11:AB11"/>
    <mergeCell ref="G10:H10"/>
    <mergeCell ref="I10:K10"/>
    <mergeCell ref="L10:N10"/>
    <mergeCell ref="O10:Q10"/>
    <mergeCell ref="R10:T10"/>
    <mergeCell ref="U10:X10"/>
    <mergeCell ref="Y10:AB10"/>
    <mergeCell ref="F13:H13"/>
    <mergeCell ref="I13:K13"/>
    <mergeCell ref="L13:N13"/>
    <mergeCell ref="O13:Q13"/>
    <mergeCell ref="R13:T13"/>
    <mergeCell ref="U13:X13"/>
    <mergeCell ref="Y13:AB13"/>
    <mergeCell ref="U12:X12"/>
    <mergeCell ref="Y12:AB12"/>
    <mergeCell ref="G12:H12"/>
    <mergeCell ref="I12:K12"/>
    <mergeCell ref="L12:N12"/>
    <mergeCell ref="O12:Q12"/>
    <mergeCell ref="G17:H17"/>
    <mergeCell ref="I17:K17"/>
    <mergeCell ref="L17:N17"/>
    <mergeCell ref="G20:H20"/>
    <mergeCell ref="I20:K20"/>
    <mergeCell ref="L20:N20"/>
    <mergeCell ref="O20:Q20"/>
    <mergeCell ref="R20:T20"/>
    <mergeCell ref="U20:X20"/>
    <mergeCell ref="O17:Q17"/>
    <mergeCell ref="R17:T17"/>
    <mergeCell ref="U17:X17"/>
    <mergeCell ref="L19:N19"/>
    <mergeCell ref="I18:K18"/>
    <mergeCell ref="L18:N18"/>
    <mergeCell ref="O18:Q18"/>
    <mergeCell ref="R18:T18"/>
    <mergeCell ref="U18:X18"/>
    <mergeCell ref="G18:H18"/>
    <mergeCell ref="U14:X14"/>
    <mergeCell ref="Y14:AB14"/>
    <mergeCell ref="V26:X27"/>
    <mergeCell ref="C22:E22"/>
    <mergeCell ref="F22:H22"/>
    <mergeCell ref="I22:K22"/>
    <mergeCell ref="L22:N22"/>
    <mergeCell ref="O22:Q22"/>
    <mergeCell ref="R22:T22"/>
    <mergeCell ref="U22:X22"/>
    <mergeCell ref="Y22:AB22"/>
    <mergeCell ref="C14:E14"/>
    <mergeCell ref="F14:H14"/>
    <mergeCell ref="I14:K14"/>
    <mergeCell ref="L14:N14"/>
    <mergeCell ref="O14:Q14"/>
    <mergeCell ref="R14:T14"/>
    <mergeCell ref="G16:H16"/>
    <mergeCell ref="I16:K16"/>
    <mergeCell ref="L16:N16"/>
    <mergeCell ref="O16:Q16"/>
    <mergeCell ref="R16:T16"/>
    <mergeCell ref="U16:X16"/>
    <mergeCell ref="Y16:AB16"/>
    <mergeCell ref="C30:D30"/>
    <mergeCell ref="Y26:Y27"/>
    <mergeCell ref="Y20:AB20"/>
    <mergeCell ref="F29:F30"/>
    <mergeCell ref="G29:I29"/>
    <mergeCell ref="K29:K30"/>
    <mergeCell ref="L29:N30"/>
    <mergeCell ref="F27:J27"/>
    <mergeCell ref="O27:Q27"/>
    <mergeCell ref="F26:J26"/>
    <mergeCell ref="L26:L27"/>
    <mergeCell ref="M26:O26"/>
    <mergeCell ref="Q26:S26"/>
    <mergeCell ref="U26:U27"/>
    <mergeCell ref="Y18:AB18"/>
    <mergeCell ref="G19:H19"/>
    <mergeCell ref="I19:K19"/>
    <mergeCell ref="O19:Q19"/>
    <mergeCell ref="R19:T19"/>
    <mergeCell ref="U19:X19"/>
    <mergeCell ref="BD7:BF8"/>
    <mergeCell ref="C33:D33"/>
    <mergeCell ref="F33:H33"/>
    <mergeCell ref="J33:K33"/>
    <mergeCell ref="N33:P33"/>
    <mergeCell ref="R33:S33"/>
    <mergeCell ref="C29:D29"/>
    <mergeCell ref="G30:I30"/>
    <mergeCell ref="F21:H21"/>
    <mergeCell ref="I21:K21"/>
    <mergeCell ref="L21:N21"/>
    <mergeCell ref="O21:Q21"/>
    <mergeCell ref="R21:T21"/>
    <mergeCell ref="U21:X21"/>
    <mergeCell ref="Y21:AB21"/>
    <mergeCell ref="O29:O30"/>
    <mergeCell ref="C26:D27"/>
    <mergeCell ref="E26:E27"/>
    <mergeCell ref="AM10:AN10"/>
    <mergeCell ref="AP10:AR10"/>
    <mergeCell ref="AT10:AW10"/>
    <mergeCell ref="AX10:AY10"/>
    <mergeCell ref="BB10:BC10"/>
    <mergeCell ref="AM7:AN8"/>
    <mergeCell ref="AO7:AO8"/>
    <mergeCell ref="AP7:AQ7"/>
    <mergeCell ref="AU7:AU8"/>
    <mergeCell ref="AV7:AX7"/>
    <mergeCell ref="AZ7:BA7"/>
    <mergeCell ref="BC7:BC8"/>
    <mergeCell ref="AX8:AZ8"/>
  </mergeCells>
  <phoneticPr fontId="1"/>
  <conditionalFormatting sqref="R33:S33">
    <cfRule type="cellIs" dxfId="6" priority="3" operator="equal">
      <formula>"NG"</formula>
    </cfRule>
  </conditionalFormatting>
  <conditionalFormatting sqref="BB10:BC10">
    <cfRule type="cellIs" dxfId="5" priority="4" operator="equal">
      <formula>"NG"</formula>
    </cfRule>
  </conditionalFormatting>
  <pageMargins left="0.70866141732283472" right="0.70866141732283472" top="0.74803149606299213" bottom="0.74803149606299213" header="0.31496062992125984" footer="0.31496062992125984"/>
  <pageSetup paperSize="9" scale="74" orientation="portrait" r:id="rId1"/>
  <colBreaks count="1" manualBreakCount="1">
    <brk id="35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26040-CED4-4D0A-8AE9-33E4F66C6CE3}">
  <dimension ref="A1:BR38"/>
  <sheetViews>
    <sheetView showGridLines="0" view="pageBreakPreview" zoomScale="60" zoomScaleNormal="65" workbookViewId="0">
      <selection activeCell="A2" sqref="A2"/>
    </sheetView>
  </sheetViews>
  <sheetFormatPr defaultRowHeight="18"/>
  <cols>
    <col min="1" max="35" width="3" customWidth="1"/>
    <col min="36" max="70" width="2.8984375" customWidth="1"/>
  </cols>
  <sheetData>
    <row r="1" spans="2:67" ht="18" customHeight="1"/>
    <row r="2" spans="2:67" ht="18" customHeight="1">
      <c r="B2" s="3" t="s">
        <v>507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AL2" s="332" t="s">
        <v>157</v>
      </c>
      <c r="AM2" s="332"/>
      <c r="AN2" s="3" t="s">
        <v>2</v>
      </c>
      <c r="AO2" s="216">
        <f>'3.照査'!V26</f>
        <v>1.1901840856476416</v>
      </c>
      <c r="AP2" s="216"/>
      <c r="AQ2" s="216"/>
      <c r="AR2" s="3"/>
      <c r="AS2" s="3"/>
      <c r="BI2" s="3"/>
      <c r="BJ2" s="3"/>
      <c r="BK2" s="3"/>
    </row>
    <row r="3" spans="2:67" ht="18" customHeight="1">
      <c r="B3" s="3"/>
      <c r="C3" s="3" t="s">
        <v>216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L3" s="260" t="s">
        <v>165</v>
      </c>
      <c r="AM3" s="260"/>
      <c r="AN3" t="s">
        <v>48</v>
      </c>
      <c r="AO3" s="43" t="s">
        <v>166</v>
      </c>
      <c r="AP3" s="3" t="s">
        <v>2</v>
      </c>
      <c r="AQ3" s="354">
        <f>AE35</f>
        <v>0.56000000000000005</v>
      </c>
      <c r="AR3" s="354"/>
      <c r="AS3" t="s">
        <v>48</v>
      </c>
      <c r="AT3" s="297">
        <f>'1.設計条件'!T9</f>
        <v>1.3</v>
      </c>
      <c r="AU3" s="297"/>
      <c r="AV3" s="297"/>
      <c r="AW3" s="3" t="s">
        <v>2</v>
      </c>
      <c r="AX3" s="297">
        <f>AQ3*AT3</f>
        <v>0.72800000000000009</v>
      </c>
      <c r="AY3" s="297"/>
      <c r="AZ3" s="297"/>
    </row>
    <row r="4" spans="2:67" ht="18" customHeight="1">
      <c r="C4" s="260" t="s">
        <v>164</v>
      </c>
      <c r="D4" s="260"/>
      <c r="E4" s="292" t="s">
        <v>2</v>
      </c>
      <c r="F4" s="293" t="s">
        <v>177</v>
      </c>
      <c r="G4" s="293"/>
      <c r="H4" s="45" t="s">
        <v>82</v>
      </c>
      <c r="I4" s="293" t="s">
        <v>165</v>
      </c>
      <c r="J4" s="293"/>
      <c r="K4" s="10" t="s">
        <v>48</v>
      </c>
      <c r="L4" s="44" t="s">
        <v>166</v>
      </c>
      <c r="M4" s="46" t="s">
        <v>48</v>
      </c>
      <c r="N4" s="293" t="s">
        <v>209</v>
      </c>
      <c r="O4" s="293"/>
      <c r="P4" s="10"/>
      <c r="Q4" s="10"/>
      <c r="R4" s="10"/>
      <c r="S4" s="10"/>
      <c r="T4" s="28"/>
      <c r="V4" s="34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40"/>
      <c r="AL4" t="s">
        <v>62</v>
      </c>
      <c r="AP4" s="332" t="s">
        <v>157</v>
      </c>
      <c r="AQ4" s="332"/>
      <c r="AR4" s="3" t="s">
        <v>301</v>
      </c>
      <c r="AS4" s="260" t="s">
        <v>165</v>
      </c>
      <c r="AT4" s="260"/>
      <c r="AU4" t="s">
        <v>48</v>
      </c>
      <c r="AV4" s="43" t="s">
        <v>166</v>
      </c>
      <c r="AX4" t="s">
        <v>214</v>
      </c>
    </row>
    <row r="5" spans="2:67" ht="18" customHeight="1">
      <c r="C5" s="260"/>
      <c r="D5" s="260"/>
      <c r="E5" s="292"/>
      <c r="F5" s="43" t="s">
        <v>166</v>
      </c>
      <c r="G5" s="19" t="s">
        <v>167</v>
      </c>
      <c r="H5" s="47" t="s">
        <v>55</v>
      </c>
      <c r="I5" s="48" t="s">
        <v>171</v>
      </c>
      <c r="J5" t="s">
        <v>82</v>
      </c>
      <c r="K5" s="260" t="s">
        <v>165</v>
      </c>
      <c r="L5" s="260"/>
      <c r="M5" t="s">
        <v>168</v>
      </c>
      <c r="N5" t="s">
        <v>169</v>
      </c>
      <c r="O5" s="48" t="s">
        <v>171</v>
      </c>
      <c r="P5" t="s">
        <v>82</v>
      </c>
      <c r="Q5" s="260" t="s">
        <v>170</v>
      </c>
      <c r="R5" s="260"/>
      <c r="S5" s="19" t="s">
        <v>152</v>
      </c>
      <c r="T5" s="19" t="s">
        <v>172</v>
      </c>
      <c r="V5" s="102"/>
      <c r="W5" s="33"/>
      <c r="X5" s="33"/>
      <c r="AH5" s="6"/>
    </row>
    <row r="6" spans="2:67" ht="18" customHeight="1">
      <c r="V6" s="5"/>
      <c r="AH6" s="6"/>
      <c r="AL6" s="260" t="s">
        <v>164</v>
      </c>
      <c r="AM6" s="260"/>
      <c r="AN6" s="292" t="s">
        <v>2</v>
      </c>
      <c r="AO6" s="293" t="s">
        <v>177</v>
      </c>
      <c r="AP6" s="293"/>
      <c r="AQ6" s="45" t="s">
        <v>82</v>
      </c>
      <c r="AR6" s="293" t="s">
        <v>165</v>
      </c>
      <c r="AS6" s="293"/>
      <c r="AT6" s="10" t="s">
        <v>48</v>
      </c>
      <c r="AU6" s="44" t="s">
        <v>166</v>
      </c>
      <c r="AV6" s="46" t="s">
        <v>48</v>
      </c>
      <c r="AW6" s="293" t="s">
        <v>209</v>
      </c>
      <c r="AX6" s="293"/>
      <c r="AY6" s="10"/>
      <c r="AZ6" s="10"/>
      <c r="BA6" s="10"/>
      <c r="BB6" s="10"/>
      <c r="BC6" s="28"/>
    </row>
    <row r="7" spans="2:67" ht="18" customHeight="1">
      <c r="C7" s="260" t="s">
        <v>173</v>
      </c>
      <c r="D7" s="260"/>
      <c r="E7" s="4" t="s">
        <v>2</v>
      </c>
      <c r="F7" s="260" t="s">
        <v>161</v>
      </c>
      <c r="G7" s="260"/>
      <c r="H7" s="49" t="s">
        <v>82</v>
      </c>
      <c r="I7" s="260" t="s">
        <v>164</v>
      </c>
      <c r="J7" s="260"/>
      <c r="K7" s="19" t="s">
        <v>167</v>
      </c>
      <c r="L7" s="47" t="s">
        <v>55</v>
      </c>
      <c r="T7" s="3"/>
      <c r="V7" s="5"/>
      <c r="AH7" s="6"/>
      <c r="AL7" s="260"/>
      <c r="AM7" s="260"/>
      <c r="AN7" s="292"/>
      <c r="AO7" s="43" t="s">
        <v>166</v>
      </c>
      <c r="AP7" s="72" t="s">
        <v>167</v>
      </c>
      <c r="AQ7" s="47" t="s">
        <v>55</v>
      </c>
      <c r="AR7" s="48" t="s">
        <v>171</v>
      </c>
      <c r="AS7" t="s">
        <v>82</v>
      </c>
      <c r="AT7" s="260" t="s">
        <v>165</v>
      </c>
      <c r="AU7" s="260"/>
      <c r="AV7" s="73" t="s">
        <v>168</v>
      </c>
      <c r="AW7" t="s">
        <v>169</v>
      </c>
      <c r="AX7" s="48" t="s">
        <v>171</v>
      </c>
      <c r="AY7" t="s">
        <v>82</v>
      </c>
      <c r="AZ7" s="260" t="s">
        <v>170</v>
      </c>
      <c r="BA7" s="260"/>
      <c r="BB7" s="19" t="s">
        <v>152</v>
      </c>
      <c r="BC7" s="19" t="s">
        <v>172</v>
      </c>
    </row>
    <row r="8" spans="2:67" ht="18" customHeight="1">
      <c r="C8" s="43"/>
      <c r="D8" s="43"/>
      <c r="I8" s="43"/>
      <c r="J8" s="43"/>
      <c r="T8" s="3"/>
      <c r="V8" s="5"/>
      <c r="AH8" s="6"/>
      <c r="AL8" s="20"/>
      <c r="AM8" s="20"/>
    </row>
    <row r="9" spans="2:67" ht="18" customHeight="1">
      <c r="C9" s="260" t="s">
        <v>174</v>
      </c>
      <c r="D9" s="260"/>
      <c r="E9" s="4" t="s">
        <v>2</v>
      </c>
      <c r="F9" s="260" t="s">
        <v>187</v>
      </c>
      <c r="G9" s="260"/>
      <c r="H9" s="19" t="s">
        <v>49</v>
      </c>
      <c r="I9" s="260" t="s">
        <v>164</v>
      </c>
      <c r="J9" s="260"/>
      <c r="K9" s="19" t="s">
        <v>175</v>
      </c>
      <c r="L9" s="47" t="s">
        <v>55</v>
      </c>
      <c r="T9" s="3"/>
      <c r="V9" s="5"/>
      <c r="AH9" s="6"/>
      <c r="AL9" s="20"/>
      <c r="AM9" s="20"/>
      <c r="AN9" s="292" t="s">
        <v>2</v>
      </c>
      <c r="AO9" s="364">
        <f>W19</f>
        <v>138.46541031559329</v>
      </c>
      <c r="AP9" s="365"/>
      <c r="AQ9" s="365"/>
      <c r="AR9" s="45" t="s">
        <v>82</v>
      </c>
      <c r="AS9" s="296">
        <f>AE35</f>
        <v>0.56000000000000005</v>
      </c>
      <c r="AT9" s="296"/>
      <c r="AU9" s="18" t="s">
        <v>43</v>
      </c>
      <c r="AV9" s="295">
        <f>'1.設計条件'!T9</f>
        <v>1.3</v>
      </c>
      <c r="AW9" s="295"/>
      <c r="AX9" s="18" t="s">
        <v>43</v>
      </c>
      <c r="AY9" s="364">
        <f>'3.照査'!I22</f>
        <v>116.33949065975537</v>
      </c>
      <c r="AZ9" s="365"/>
      <c r="BA9" s="365"/>
      <c r="BB9" s="10"/>
      <c r="BC9" s="10"/>
      <c r="BF9" s="10"/>
      <c r="BG9" s="10"/>
    </row>
    <row r="10" spans="2:67" ht="18" customHeight="1">
      <c r="T10" s="3"/>
      <c r="V10" s="5"/>
      <c r="AH10" s="6"/>
      <c r="AL10" s="20"/>
      <c r="AM10" s="20"/>
      <c r="AN10" s="292"/>
      <c r="AO10" s="361">
        <f>'1.設計条件'!T9</f>
        <v>1.3</v>
      </c>
      <c r="AP10" s="361"/>
      <c r="AQ10" s="72" t="s">
        <v>167</v>
      </c>
      <c r="AR10" s="366">
        <f>-'2.土圧'!Q28</f>
        <v>21.8</v>
      </c>
      <c r="AS10" s="366"/>
      <c r="AT10" s="48" t="s">
        <v>171</v>
      </c>
      <c r="AU10" t="s">
        <v>82</v>
      </c>
      <c r="AV10" s="367">
        <f>AE35</f>
        <v>0.56000000000000005</v>
      </c>
      <c r="AW10" s="367"/>
      <c r="AX10" s="73" t="s">
        <v>168</v>
      </c>
      <c r="AY10" s="143">
        <f>Y21</f>
        <v>6.5699010647040952</v>
      </c>
      <c r="AZ10" s="366"/>
      <c r="BA10" s="366"/>
      <c r="BB10" s="48" t="s">
        <v>171</v>
      </c>
      <c r="BC10" t="s">
        <v>82</v>
      </c>
      <c r="BD10" s="368">
        <f>AE34</f>
        <v>0.6</v>
      </c>
      <c r="BE10" s="367"/>
      <c r="BF10" s="19" t="s">
        <v>152</v>
      </c>
      <c r="BG10" s="19" t="s">
        <v>172</v>
      </c>
    </row>
    <row r="11" spans="2:67" ht="18" customHeight="1">
      <c r="C11" s="260" t="s">
        <v>176</v>
      </c>
      <c r="D11" s="260"/>
      <c r="E11" s="292" t="s">
        <v>2</v>
      </c>
      <c r="F11" s="50">
        <v>2</v>
      </c>
      <c r="G11" s="293" t="s">
        <v>173</v>
      </c>
      <c r="H11" s="293"/>
      <c r="I11" s="50" t="s">
        <v>178</v>
      </c>
      <c r="J11" s="45" t="s">
        <v>82</v>
      </c>
      <c r="K11" s="50">
        <v>3</v>
      </c>
      <c r="L11" s="293" t="s">
        <v>165</v>
      </c>
      <c r="M11" s="293"/>
      <c r="N11" s="51" t="s">
        <v>42</v>
      </c>
      <c r="V11" s="5"/>
      <c r="AH11" s="6"/>
    </row>
    <row r="12" spans="2:67" ht="18" customHeight="1">
      <c r="C12" s="260"/>
      <c r="D12" s="260"/>
      <c r="E12" s="292"/>
      <c r="G12" s="19"/>
      <c r="J12" s="43" t="s">
        <v>166</v>
      </c>
      <c r="V12" s="5"/>
      <c r="AH12" s="6"/>
      <c r="AN12" s="292" t="s">
        <v>2</v>
      </c>
      <c r="AO12" s="364">
        <f>AO9</f>
        <v>138.46541031559329</v>
      </c>
      <c r="AP12" s="365"/>
      <c r="AQ12" s="365"/>
      <c r="AR12" s="45" t="s">
        <v>82</v>
      </c>
      <c r="AS12" s="295">
        <f>AS9*AV9*AY9</f>
        <v>84.695149200301927</v>
      </c>
      <c r="AT12" s="295"/>
      <c r="AU12" s="295"/>
      <c r="AV12" s="44"/>
      <c r="AW12" s="10"/>
      <c r="AX12" s="10"/>
      <c r="BB12" s="10"/>
      <c r="BC12" s="10"/>
      <c r="BD12" s="10"/>
      <c r="BG12" s="292" t="s">
        <v>2</v>
      </c>
      <c r="BH12" s="362">
        <f>AO12-AS12</f>
        <v>53.770261115291362</v>
      </c>
      <c r="BI12" s="362"/>
      <c r="BJ12" s="362"/>
      <c r="BL12" s="292" t="s">
        <v>2</v>
      </c>
      <c r="BM12" s="363">
        <f>BH12/BH13</f>
        <v>9.8330076625911857</v>
      </c>
      <c r="BN12" s="363"/>
      <c r="BO12" s="363"/>
    </row>
    <row r="13" spans="2:67" ht="18" customHeight="1">
      <c r="C13" s="260" t="s">
        <v>179</v>
      </c>
      <c r="D13" s="260"/>
      <c r="E13" s="292" t="s">
        <v>2</v>
      </c>
      <c r="F13" s="50">
        <v>2</v>
      </c>
      <c r="G13" s="293" t="s">
        <v>173</v>
      </c>
      <c r="H13" s="293"/>
      <c r="I13" s="50" t="s">
        <v>180</v>
      </c>
      <c r="J13" s="293" t="s">
        <v>165</v>
      </c>
      <c r="K13" s="293"/>
      <c r="L13" s="45" t="s">
        <v>82</v>
      </c>
      <c r="M13" s="50">
        <v>1</v>
      </c>
      <c r="N13" s="51" t="s">
        <v>42</v>
      </c>
      <c r="V13" s="5"/>
      <c r="AH13" s="6"/>
      <c r="AN13" s="292"/>
      <c r="AO13" s="361">
        <f>AO10</f>
        <v>1.3</v>
      </c>
      <c r="AP13" s="361"/>
      <c r="AQ13" s="1" t="s">
        <v>43</v>
      </c>
      <c r="AR13" s="141">
        <f>SIN(AR10*PI()/180)</f>
        <v>0.37136783555023484</v>
      </c>
      <c r="AS13" s="141"/>
      <c r="AT13" s="1" t="s">
        <v>43</v>
      </c>
      <c r="AU13" s="141">
        <f>1-AV10</f>
        <v>0.43999999999999995</v>
      </c>
      <c r="AV13" s="141"/>
      <c r="AX13" t="s">
        <v>49</v>
      </c>
      <c r="AY13" s="143">
        <f>AY10</f>
        <v>6.5699010647040952</v>
      </c>
      <c r="AZ13" s="366"/>
      <c r="BA13" s="366"/>
      <c r="BB13" s="1" t="s">
        <v>43</v>
      </c>
      <c r="BC13" s="141">
        <f>1-BD10/3</f>
        <v>0.8</v>
      </c>
      <c r="BD13" s="141"/>
      <c r="BG13" s="292"/>
      <c r="BH13" s="361">
        <f>AO13*AR13*AU13+AY13*BC13</f>
        <v>5.468343253698011</v>
      </c>
      <c r="BI13" s="361"/>
      <c r="BJ13" s="361"/>
      <c r="BL13" s="292"/>
      <c r="BM13" s="363"/>
      <c r="BN13" s="363"/>
      <c r="BO13" s="363"/>
    </row>
    <row r="14" spans="2:67" ht="18" customHeight="1">
      <c r="C14" s="260"/>
      <c r="D14" s="260"/>
      <c r="E14" s="292"/>
      <c r="G14" s="19"/>
      <c r="J14" s="43" t="s">
        <v>166</v>
      </c>
      <c r="V14" s="5"/>
      <c r="AH14" s="6"/>
    </row>
    <row r="15" spans="2:67" ht="18" customHeight="1">
      <c r="C15" s="260" t="s">
        <v>181</v>
      </c>
      <c r="D15" s="260"/>
      <c r="E15" s="292" t="s">
        <v>2</v>
      </c>
      <c r="F15" s="50">
        <v>2</v>
      </c>
      <c r="G15" s="293" t="s">
        <v>164</v>
      </c>
      <c r="H15" s="293"/>
      <c r="I15" s="10"/>
      <c r="V15" s="5"/>
      <c r="AH15" s="6"/>
      <c r="AL15" s="260" t="s">
        <v>173</v>
      </c>
      <c r="AM15" s="260"/>
      <c r="AN15" s="4" t="s">
        <v>2</v>
      </c>
      <c r="AO15" s="260" t="s">
        <v>161</v>
      </c>
      <c r="AP15" s="260"/>
      <c r="AQ15" s="49" t="s">
        <v>82</v>
      </c>
      <c r="AR15" s="260" t="s">
        <v>164</v>
      </c>
      <c r="AS15" s="260"/>
      <c r="AT15" s="19" t="s">
        <v>167</v>
      </c>
      <c r="AU15" s="47" t="s">
        <v>55</v>
      </c>
      <c r="AW15" s="4" t="s">
        <v>2</v>
      </c>
      <c r="AX15" s="216">
        <f>'3.照査'!I22</f>
        <v>116.33949065975537</v>
      </c>
      <c r="AY15" s="216"/>
      <c r="AZ15" s="216"/>
      <c r="BA15" s="49" t="s">
        <v>82</v>
      </c>
      <c r="BB15" s="216">
        <f>BM12</f>
        <v>9.8330076625911857</v>
      </c>
      <c r="BC15" s="216"/>
      <c r="BD15" s="216"/>
      <c r="BE15" s="19" t="s">
        <v>167</v>
      </c>
      <c r="BG15" s="220">
        <f>-'2.土圧'!Q28</f>
        <v>21.8</v>
      </c>
      <c r="BH15" s="220"/>
      <c r="BJ15" s="4" t="s">
        <v>2</v>
      </c>
      <c r="BK15" s="216">
        <f>AX15-BB15*SIN(BG15*PI()/180)</f>
        <v>112.68782788715001</v>
      </c>
      <c r="BL15" s="216"/>
      <c r="BM15" s="216"/>
    </row>
    <row r="16" spans="2:67" ht="18" customHeight="1">
      <c r="C16" s="260"/>
      <c r="D16" s="260"/>
      <c r="E16" s="292"/>
      <c r="F16" s="260" t="s">
        <v>170</v>
      </c>
      <c r="G16" s="260"/>
      <c r="H16" t="s">
        <v>48</v>
      </c>
      <c r="I16" s="52" t="s">
        <v>182</v>
      </c>
      <c r="V16" s="5"/>
      <c r="AH16" s="6"/>
    </row>
    <row r="17" spans="1:66" ht="18" customHeight="1">
      <c r="A17" s="3"/>
      <c r="C17" t="s">
        <v>183</v>
      </c>
      <c r="V17" s="5"/>
      <c r="AH17" s="6"/>
      <c r="AL17" s="260" t="s">
        <v>174</v>
      </c>
      <c r="AM17" s="260"/>
      <c r="AN17" s="4" t="s">
        <v>2</v>
      </c>
      <c r="AO17" s="260" t="s">
        <v>187</v>
      </c>
      <c r="AP17" s="260"/>
      <c r="AQ17" s="19" t="s">
        <v>49</v>
      </c>
      <c r="AR17" s="260" t="s">
        <v>164</v>
      </c>
      <c r="AS17" s="260"/>
      <c r="AT17" s="19" t="s">
        <v>175</v>
      </c>
      <c r="AU17" s="47" t="s">
        <v>55</v>
      </c>
      <c r="AW17" s="4" t="s">
        <v>2</v>
      </c>
      <c r="AX17" s="297">
        <f>'3.照査'!L22</f>
        <v>41.224084590267331</v>
      </c>
      <c r="AY17" s="297"/>
      <c r="AZ17" s="297"/>
      <c r="BA17" s="19" t="s">
        <v>49</v>
      </c>
      <c r="BB17" s="216">
        <f>BM12</f>
        <v>9.8330076625911857</v>
      </c>
      <c r="BC17" s="216"/>
      <c r="BD17" s="216"/>
      <c r="BE17" s="19" t="s">
        <v>175</v>
      </c>
      <c r="BG17" s="220">
        <f>BG15</f>
        <v>21.8</v>
      </c>
      <c r="BH17" s="220"/>
      <c r="BJ17" s="4" t="s">
        <v>2</v>
      </c>
      <c r="BK17" s="216">
        <f>AX17+BB17*COS(BG17*PI()/180)</f>
        <v>50.353892840594668</v>
      </c>
      <c r="BL17" s="216"/>
      <c r="BM17" s="216"/>
    </row>
    <row r="18" spans="1:66" ht="18" customHeight="1">
      <c r="A18" s="3"/>
      <c r="C18" s="260" t="s">
        <v>177</v>
      </c>
      <c r="D18" s="260"/>
      <c r="E18" t="s">
        <v>425</v>
      </c>
      <c r="V18" s="7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8"/>
    </row>
    <row r="19" spans="1:66" ht="18" customHeight="1">
      <c r="A19" s="3"/>
      <c r="C19" s="20"/>
      <c r="D19" s="260" t="s">
        <v>177</v>
      </c>
      <c r="E19" s="260"/>
      <c r="F19" s="3" t="s">
        <v>2</v>
      </c>
      <c r="G19" s="260" t="s">
        <v>185</v>
      </c>
      <c r="H19" s="260"/>
      <c r="I19" s="49" t="s">
        <v>82</v>
      </c>
      <c r="J19" s="260" t="s">
        <v>186</v>
      </c>
      <c r="K19" s="260"/>
      <c r="M19" s="3" t="s">
        <v>2</v>
      </c>
      <c r="N19" s="297">
        <f>'3.照査'!U22</f>
        <v>222.28771564913686</v>
      </c>
      <c r="O19" s="297"/>
      <c r="P19" s="297"/>
      <c r="Q19" s="4" t="s">
        <v>111</v>
      </c>
      <c r="R19" s="297">
        <f>'3.照査'!Y22</f>
        <v>83.822305333543568</v>
      </c>
      <c r="S19" s="297"/>
      <c r="T19" s="297"/>
      <c r="V19" s="3" t="s">
        <v>2</v>
      </c>
      <c r="W19" s="297">
        <f>N19-R19</f>
        <v>138.46541031559329</v>
      </c>
      <c r="X19" s="297"/>
      <c r="Y19" s="297"/>
      <c r="AL19" s="359" t="s">
        <v>199</v>
      </c>
      <c r="AM19" s="359"/>
      <c r="AN19" s="4" t="s">
        <v>2</v>
      </c>
      <c r="AO19" s="260" t="s">
        <v>170</v>
      </c>
      <c r="AP19" s="260"/>
      <c r="AQ19" t="s">
        <v>48</v>
      </c>
      <c r="AR19" s="52" t="s">
        <v>182</v>
      </c>
      <c r="AT19" s="4" t="s">
        <v>2</v>
      </c>
      <c r="AU19" s="357">
        <f>AE34</f>
        <v>0.6</v>
      </c>
      <c r="AV19" s="268"/>
      <c r="AW19" t="s">
        <v>48</v>
      </c>
      <c r="AX19" s="262">
        <f>Y21</f>
        <v>6.5699010647040952</v>
      </c>
      <c r="AY19" s="262"/>
      <c r="BA19" s="4" t="s">
        <v>2</v>
      </c>
      <c r="BB19" s="262">
        <f>AU19*AX19</f>
        <v>3.9419406388224569</v>
      </c>
      <c r="BC19" s="262"/>
      <c r="BD19" s="262"/>
      <c r="BE19" s="21"/>
      <c r="BF19" s="103"/>
      <c r="BG19" s="103"/>
      <c r="BH19" s="94"/>
      <c r="BI19" s="94"/>
    </row>
    <row r="20" spans="1:66" ht="18" customHeight="1">
      <c r="C20" s="359" t="s">
        <v>182</v>
      </c>
      <c r="D20" s="359"/>
      <c r="E20" s="3" t="s">
        <v>184</v>
      </c>
      <c r="AL20" s="20"/>
      <c r="AM20" s="20"/>
      <c r="AN20" s="4"/>
      <c r="AO20" s="20"/>
      <c r="AP20" s="20"/>
      <c r="AR20" s="20"/>
      <c r="AS20" s="20"/>
      <c r="AT20" s="103"/>
      <c r="AU20" s="103"/>
      <c r="AV20" s="47"/>
      <c r="AX20" s="4"/>
      <c r="AY20" s="30"/>
      <c r="AZ20" s="30"/>
      <c r="BA20" s="30"/>
      <c r="BC20" s="21"/>
      <c r="BD20" s="21"/>
      <c r="BE20" s="21"/>
      <c r="BF20" s="103"/>
      <c r="BG20" s="103"/>
      <c r="BH20" s="94"/>
      <c r="BI20" s="94"/>
    </row>
    <row r="21" spans="1:66" ht="18" customHeight="1">
      <c r="A21" s="3"/>
      <c r="D21" s="359" t="s">
        <v>182</v>
      </c>
      <c r="E21" s="359"/>
      <c r="F21" s="3" t="s">
        <v>2</v>
      </c>
      <c r="G21" s="2" t="s">
        <v>34</v>
      </c>
      <c r="H21" t="s">
        <v>43</v>
      </c>
      <c r="I21" t="s">
        <v>210</v>
      </c>
      <c r="J21" s="360" t="s">
        <v>212</v>
      </c>
      <c r="K21" s="360"/>
      <c r="L21" s="360"/>
      <c r="M21" s="3" t="s">
        <v>2</v>
      </c>
      <c r="N21" s="297">
        <f>'1.設計条件'!T5</f>
        <v>6.1</v>
      </c>
      <c r="O21" s="297"/>
      <c r="P21" s="297"/>
      <c r="Q21" t="s">
        <v>43</v>
      </c>
      <c r="R21" t="s">
        <v>210</v>
      </c>
      <c r="S21" s="254" t="s">
        <v>211</v>
      </c>
      <c r="T21" s="254"/>
      <c r="U21" s="297">
        <f>'1.設計条件'!T13</f>
        <v>0.4</v>
      </c>
      <c r="V21" s="297"/>
      <c r="W21" t="s">
        <v>213</v>
      </c>
      <c r="X21" s="3" t="s">
        <v>2</v>
      </c>
      <c r="Y21" s="297">
        <f>N21*SQRT(1+U21^2)</f>
        <v>6.5699010647040952</v>
      </c>
      <c r="Z21" s="297"/>
      <c r="AA21" s="297"/>
      <c r="AF21" s="3"/>
      <c r="AG21" s="3"/>
      <c r="AL21" s="355" t="s">
        <v>198</v>
      </c>
      <c r="AM21" s="355"/>
      <c r="AN21" s="4" t="s">
        <v>2</v>
      </c>
      <c r="AO21" s="52" t="s">
        <v>182</v>
      </c>
      <c r="AP21" s="49" t="s">
        <v>82</v>
      </c>
      <c r="AQ21" s="359" t="s">
        <v>199</v>
      </c>
      <c r="AR21" s="359"/>
      <c r="AS21" s="20"/>
      <c r="AT21" s="4" t="s">
        <v>2</v>
      </c>
      <c r="AU21" s="262">
        <f>Y21</f>
        <v>6.5699010647040952</v>
      </c>
      <c r="AV21" s="262"/>
      <c r="AW21" s="49" t="s">
        <v>82</v>
      </c>
      <c r="AX21" s="262">
        <f>BB19</f>
        <v>3.9419406388224569</v>
      </c>
      <c r="AY21" s="262"/>
      <c r="BA21" s="4" t="s">
        <v>2</v>
      </c>
      <c r="BB21" s="262">
        <f>AU21-AX21</f>
        <v>2.6279604258816383</v>
      </c>
      <c r="BC21" s="262"/>
      <c r="BD21" s="262"/>
      <c r="BE21" s="21"/>
      <c r="BF21" s="103"/>
      <c r="BG21" s="103"/>
      <c r="BH21" s="94"/>
      <c r="BI21" s="94"/>
    </row>
    <row r="22" spans="1:66" ht="18" customHeight="1">
      <c r="A22" s="3"/>
      <c r="B22" s="3"/>
      <c r="C22" s="356" t="s">
        <v>426</v>
      </c>
      <c r="D22" s="356"/>
      <c r="E22" t="s">
        <v>427</v>
      </c>
      <c r="U22" s="3"/>
      <c r="Z22" s="3"/>
      <c r="AA22" s="3"/>
      <c r="AB22" s="3"/>
      <c r="AC22" s="3"/>
      <c r="AD22" s="3"/>
      <c r="AE22" s="3"/>
      <c r="AF22" s="3"/>
      <c r="AG22" s="3"/>
      <c r="AL22" s="20"/>
      <c r="AM22" s="20"/>
      <c r="AN22" s="4"/>
      <c r="AO22" s="20"/>
      <c r="AP22" s="20"/>
      <c r="AR22" s="20"/>
      <c r="AS22" s="20"/>
      <c r="AT22" s="103"/>
      <c r="AU22" s="103"/>
      <c r="AV22" s="47"/>
      <c r="AX22" s="4"/>
      <c r="AY22" s="30"/>
      <c r="AZ22" s="30"/>
      <c r="BA22" s="30"/>
      <c r="BC22" s="21"/>
      <c r="BD22" s="21"/>
      <c r="BE22" s="21"/>
      <c r="BF22" s="103"/>
      <c r="BG22" s="103"/>
      <c r="BH22" s="94"/>
      <c r="BI22" s="94"/>
    </row>
    <row r="23" spans="1:66" ht="18" customHeight="1">
      <c r="A23" s="3"/>
      <c r="B23" s="3"/>
      <c r="D23" s="356" t="s">
        <v>426</v>
      </c>
      <c r="E23" s="356"/>
      <c r="F23" t="s">
        <v>2</v>
      </c>
      <c r="G23" s="219" t="s">
        <v>85</v>
      </c>
      <c r="H23" s="219"/>
      <c r="I23" s="2" t="s">
        <v>428</v>
      </c>
      <c r="K23" t="s">
        <v>2</v>
      </c>
      <c r="L23" s="219" t="s">
        <v>85</v>
      </c>
      <c r="M23" s="219"/>
      <c r="N23" s="269">
        <f>'1.設計条件'!T13</f>
        <v>0.4</v>
      </c>
      <c r="O23" s="269"/>
      <c r="P23" t="s">
        <v>2</v>
      </c>
      <c r="Q23" s="220">
        <f>ROUND(ATAN(N23)*180/PI(),2)</f>
        <v>21.8</v>
      </c>
      <c r="R23" s="220"/>
      <c r="S23" s="220"/>
      <c r="T23" t="s">
        <v>18</v>
      </c>
      <c r="AL23" s="260" t="s">
        <v>181</v>
      </c>
      <c r="AM23" s="260"/>
      <c r="AN23" s="292" t="s">
        <v>2</v>
      </c>
      <c r="AO23" s="50">
        <v>2</v>
      </c>
      <c r="AP23" s="293" t="s">
        <v>164</v>
      </c>
      <c r="AQ23" s="293"/>
      <c r="AR23" s="10"/>
      <c r="AT23" s="292" t="s">
        <v>2</v>
      </c>
      <c r="AU23" s="50">
        <v>2</v>
      </c>
      <c r="AV23" s="10" t="s">
        <v>48</v>
      </c>
      <c r="AW23" s="295">
        <f>BM12</f>
        <v>9.8330076625911857</v>
      </c>
      <c r="AX23" s="295"/>
      <c r="AY23" s="10"/>
      <c r="BA23" s="292" t="s">
        <v>2</v>
      </c>
      <c r="BB23" s="258">
        <f>AU23*AW23</f>
        <v>19.666015325182371</v>
      </c>
      <c r="BC23" s="258"/>
      <c r="BD23" s="258"/>
      <c r="BE23" s="19"/>
      <c r="BF23" s="292" t="s">
        <v>2</v>
      </c>
      <c r="BG23" s="216">
        <f>BB23/BB24</f>
        <v>4.9889171672197064</v>
      </c>
      <c r="BH23" s="216"/>
      <c r="BI23" s="216"/>
    </row>
    <row r="24" spans="1:66" ht="18" customHeight="1">
      <c r="A24" s="3"/>
      <c r="B24" s="3"/>
      <c r="C24" s="260" t="s">
        <v>173</v>
      </c>
      <c r="D24" s="260"/>
      <c r="E24" s="3" t="s">
        <v>188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B24" s="3"/>
      <c r="AC24" s="3"/>
      <c r="AD24" s="3"/>
      <c r="AE24" s="3"/>
      <c r="AF24" s="3"/>
      <c r="AG24" s="3"/>
      <c r="AL24" s="260"/>
      <c r="AM24" s="260"/>
      <c r="AN24" s="292"/>
      <c r="AO24" s="260" t="s">
        <v>170</v>
      </c>
      <c r="AP24" s="260"/>
      <c r="AQ24" t="s">
        <v>48</v>
      </c>
      <c r="AR24" s="52" t="s">
        <v>182</v>
      </c>
      <c r="AT24" s="292"/>
      <c r="AU24" s="357">
        <f>AE34</f>
        <v>0.6</v>
      </c>
      <c r="AV24" s="268"/>
      <c r="AW24" t="s">
        <v>48</v>
      </c>
      <c r="AX24" s="262">
        <f>Y21</f>
        <v>6.5699010647040952</v>
      </c>
      <c r="AY24" s="262"/>
      <c r="BA24" s="292"/>
      <c r="BB24" s="358">
        <f>AU24*AX24</f>
        <v>3.9419406388224569</v>
      </c>
      <c r="BC24" s="358"/>
      <c r="BD24" s="358"/>
      <c r="BE24" s="19"/>
      <c r="BF24" s="292"/>
      <c r="BG24" s="216"/>
      <c r="BH24" s="216"/>
      <c r="BI24" s="216"/>
    </row>
    <row r="25" spans="1:66" ht="18" customHeight="1">
      <c r="A25" s="3"/>
      <c r="B25" s="3"/>
      <c r="C25" s="260" t="s">
        <v>174</v>
      </c>
      <c r="D25" s="260"/>
      <c r="E25" s="3" t="s">
        <v>189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</row>
    <row r="26" spans="1:66" ht="18" customHeight="1">
      <c r="A26" s="3"/>
      <c r="B26" s="3"/>
      <c r="C26" s="260" t="s">
        <v>164</v>
      </c>
      <c r="D26" s="260"/>
      <c r="E26" s="3" t="s">
        <v>215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AL26" s="260" t="s">
        <v>176</v>
      </c>
      <c r="AM26" s="260"/>
      <c r="AN26" s="292" t="s">
        <v>2</v>
      </c>
      <c r="AO26" s="50">
        <v>2</v>
      </c>
      <c r="AP26" s="293" t="s">
        <v>173</v>
      </c>
      <c r="AQ26" s="293"/>
      <c r="AR26" s="50" t="s">
        <v>178</v>
      </c>
      <c r="AS26" s="45" t="s">
        <v>82</v>
      </c>
      <c r="AT26" s="50">
        <v>3</v>
      </c>
      <c r="AU26" s="293" t="s">
        <v>165</v>
      </c>
      <c r="AV26" s="293"/>
      <c r="AW26" s="51" t="s">
        <v>42</v>
      </c>
      <c r="AY26" s="292" t="s">
        <v>2</v>
      </c>
      <c r="AZ26" s="50">
        <v>2</v>
      </c>
      <c r="BA26" s="258">
        <f>BK15</f>
        <v>112.68782788715001</v>
      </c>
      <c r="BB26" s="258"/>
      <c r="BC26" s="258"/>
      <c r="BD26" s="50" t="s">
        <v>178</v>
      </c>
      <c r="BE26" s="45" t="s">
        <v>82</v>
      </c>
      <c r="BF26" s="50">
        <v>3</v>
      </c>
      <c r="BG26" s="222">
        <f>AE35</f>
        <v>0.56000000000000005</v>
      </c>
      <c r="BH26" s="222"/>
      <c r="BI26" s="51" t="s">
        <v>42</v>
      </c>
      <c r="BK26" s="292" t="s">
        <v>2</v>
      </c>
      <c r="BL26" s="294">
        <f>AZ26*BA26*(2-3*BG26)</f>
        <v>72.120209847775968</v>
      </c>
      <c r="BM26" s="294"/>
      <c r="BN26" s="294"/>
    </row>
    <row r="27" spans="1:66" ht="18" customHeight="1">
      <c r="A27" s="3"/>
      <c r="B27" s="3"/>
      <c r="C27" s="20"/>
      <c r="E27" s="3" t="s">
        <v>192</v>
      </c>
      <c r="F27" s="3"/>
      <c r="G27" s="3"/>
      <c r="H27" s="332" t="s">
        <v>157</v>
      </c>
      <c r="I27" s="332"/>
      <c r="J27" s="3" t="s">
        <v>190</v>
      </c>
      <c r="K27" s="260" t="s">
        <v>165</v>
      </c>
      <c r="L27" s="260"/>
      <c r="M27" t="s">
        <v>48</v>
      </c>
      <c r="N27" s="43" t="s">
        <v>166</v>
      </c>
      <c r="O27" s="3" t="s">
        <v>191</v>
      </c>
      <c r="P27" s="3"/>
      <c r="Q27" s="3"/>
      <c r="R27" s="260" t="s">
        <v>164</v>
      </c>
      <c r="S27" s="260"/>
      <c r="T27" s="3" t="s">
        <v>2</v>
      </c>
      <c r="U27" s="48">
        <v>0</v>
      </c>
      <c r="AL27" s="260"/>
      <c r="AM27" s="260"/>
      <c r="AN27" s="292"/>
      <c r="AP27" s="19"/>
      <c r="AS27" s="43" t="s">
        <v>166</v>
      </c>
      <c r="AY27" s="292"/>
      <c r="BC27" s="216">
        <f>'1.設計条件'!T9</f>
        <v>1.3</v>
      </c>
      <c r="BD27" s="216"/>
      <c r="BE27" s="216"/>
      <c r="BK27" s="292"/>
      <c r="BL27" s="216">
        <f>BC27</f>
        <v>1.3</v>
      </c>
      <c r="BM27" s="216"/>
      <c r="BN27" s="216"/>
    </row>
    <row r="28" spans="1:66" ht="18" customHeight="1">
      <c r="B28" s="3"/>
      <c r="C28" s="260" t="s">
        <v>176</v>
      </c>
      <c r="D28" s="260"/>
      <c r="E28" s="3" t="s">
        <v>193</v>
      </c>
      <c r="AK28" s="3"/>
      <c r="AN28" s="4" t="s">
        <v>2</v>
      </c>
      <c r="AO28" s="216">
        <f>BL26/BL27</f>
        <v>55.477084498289202</v>
      </c>
      <c r="AP28" s="216"/>
      <c r="AQ28" s="216"/>
    </row>
    <row r="29" spans="1:66" ht="18" customHeight="1">
      <c r="B29" s="3"/>
      <c r="C29" s="260" t="s">
        <v>179</v>
      </c>
      <c r="D29" s="260"/>
      <c r="E29" s="3" t="s">
        <v>194</v>
      </c>
      <c r="AK29" s="3"/>
    </row>
    <row r="30" spans="1:66" ht="18" customHeight="1">
      <c r="B30" s="3"/>
      <c r="C30" s="260" t="s">
        <v>181</v>
      </c>
      <c r="D30" s="260"/>
      <c r="E30" s="3" t="s">
        <v>195</v>
      </c>
      <c r="AL30" s="260" t="s">
        <v>179</v>
      </c>
      <c r="AM30" s="260"/>
      <c r="AN30" s="292" t="s">
        <v>2</v>
      </c>
      <c r="AO30" s="50">
        <v>2</v>
      </c>
      <c r="AP30" s="293" t="s">
        <v>173</v>
      </c>
      <c r="AQ30" s="293"/>
      <c r="AR30" s="50" t="s">
        <v>180</v>
      </c>
      <c r="AS30" s="293" t="s">
        <v>165</v>
      </c>
      <c r="AT30" s="293"/>
      <c r="AU30" s="45" t="s">
        <v>82</v>
      </c>
      <c r="AV30" s="50">
        <v>1</v>
      </c>
      <c r="AW30" s="51" t="s">
        <v>42</v>
      </c>
      <c r="AY30" s="292" t="s">
        <v>2</v>
      </c>
      <c r="AZ30" s="50">
        <v>2</v>
      </c>
      <c r="BA30" s="294">
        <f>BK15</f>
        <v>112.68782788715001</v>
      </c>
      <c r="BB30" s="294"/>
      <c r="BC30" s="294"/>
      <c r="BD30" s="50" t="s">
        <v>180</v>
      </c>
      <c r="BE30" s="222">
        <f>AE35</f>
        <v>0.56000000000000005</v>
      </c>
      <c r="BF30" s="222"/>
      <c r="BG30" s="45" t="s">
        <v>82</v>
      </c>
      <c r="BH30" s="50">
        <v>1</v>
      </c>
      <c r="BI30" s="51" t="s">
        <v>42</v>
      </c>
      <c r="BK30" s="292" t="s">
        <v>2</v>
      </c>
      <c r="BL30" s="258">
        <f>AZ30*BA30*(3*BE30-1)</f>
        <v>153.25544592652403</v>
      </c>
      <c r="BM30" s="258"/>
      <c r="BN30" s="258"/>
    </row>
    <row r="31" spans="1:66" ht="18" customHeight="1">
      <c r="B31" s="3"/>
      <c r="C31" s="260" t="s">
        <v>196</v>
      </c>
      <c r="D31" s="260"/>
      <c r="E31" s="3" t="s">
        <v>197</v>
      </c>
      <c r="AL31" s="260"/>
      <c r="AM31" s="260"/>
      <c r="AN31" s="292"/>
      <c r="AP31" s="19"/>
      <c r="AS31" s="43" t="s">
        <v>166</v>
      </c>
      <c r="AY31" s="292"/>
      <c r="BC31" s="216">
        <f>'1.設計条件'!T9</f>
        <v>1.3</v>
      </c>
      <c r="BD31" s="216"/>
      <c r="BE31" s="216"/>
      <c r="BK31" s="292"/>
      <c r="BL31" s="216">
        <f>BC31</f>
        <v>1.3</v>
      </c>
      <c r="BM31" s="216"/>
      <c r="BN31" s="216"/>
    </row>
    <row r="32" spans="1:66" ht="18" customHeight="1">
      <c r="B32" s="3"/>
      <c r="C32" s="355" t="s">
        <v>198</v>
      </c>
      <c r="D32" s="355"/>
      <c r="E32" s="3" t="s">
        <v>200</v>
      </c>
      <c r="AN32" s="4" t="s">
        <v>2</v>
      </c>
      <c r="AO32" s="216">
        <f>BL30/BL31</f>
        <v>117.88880455886463</v>
      </c>
      <c r="AP32" s="216"/>
      <c r="AQ32" s="216"/>
    </row>
    <row r="33" spans="2:70" ht="18" customHeight="1">
      <c r="B33" s="3"/>
      <c r="C33" s="355" t="s">
        <v>199</v>
      </c>
      <c r="D33" s="355"/>
      <c r="E33" s="3" t="s">
        <v>201</v>
      </c>
    </row>
    <row r="34" spans="2:70" ht="18" customHeight="1">
      <c r="B34" s="3"/>
      <c r="C34" s="260" t="s">
        <v>170</v>
      </c>
      <c r="D34" s="260"/>
      <c r="E34" s="3" t="s">
        <v>218</v>
      </c>
      <c r="U34" s="3"/>
      <c r="AB34" s="260" t="s">
        <v>170</v>
      </c>
      <c r="AC34" s="260"/>
      <c r="AD34" t="s">
        <v>2</v>
      </c>
      <c r="AE34" s="354">
        <f>_xlfn.IFS('1.設計条件'!T13=0.3, 0.5, '1.設計条件'!T13=0.4, 0.6,'1.設計条件'!T13=0.5, 0.7)</f>
        <v>0.6</v>
      </c>
      <c r="AF34" s="354"/>
      <c r="AL34" t="s">
        <v>112</v>
      </c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</row>
    <row r="35" spans="2:70" ht="18" customHeight="1">
      <c r="B35" s="3"/>
      <c r="C35" s="260" t="s">
        <v>208</v>
      </c>
      <c r="D35" s="260"/>
      <c r="E35" s="3" t="s">
        <v>202</v>
      </c>
      <c r="U35" s="3"/>
      <c r="AB35" s="260" t="s">
        <v>165</v>
      </c>
      <c r="AC35" s="260"/>
      <c r="AD35" t="s">
        <v>2</v>
      </c>
      <c r="AE35" s="141">
        <v>0.56000000000000005</v>
      </c>
      <c r="AF35" s="141"/>
      <c r="AL35" s="350" t="s">
        <v>176</v>
      </c>
      <c r="AM35" s="351"/>
      <c r="AN35" s="127" t="s">
        <v>107</v>
      </c>
      <c r="AO35" s="171">
        <f>AO28</f>
        <v>55.477084498289202</v>
      </c>
      <c r="AP35" s="171"/>
      <c r="AQ35" s="172"/>
      <c r="AR35" s="26" t="str">
        <f>IF(AO35&lt;=AX35, "≦", "&gt;")</f>
        <v>≦</v>
      </c>
      <c r="AS35" s="185" t="s">
        <v>117</v>
      </c>
      <c r="AT35" s="186"/>
      <c r="AU35" s="186"/>
      <c r="AV35" s="186"/>
      <c r="AW35" s="186"/>
      <c r="AX35" s="214">
        <f>'1.設計条件'!T32</f>
        <v>300</v>
      </c>
      <c r="AY35" s="349"/>
      <c r="AZ35" s="3"/>
      <c r="BA35" s="185" t="str">
        <f>IF(AR35="≦", "OK", "NG")</f>
        <v>OK</v>
      </c>
      <c r="BB35" s="187"/>
    </row>
    <row r="36" spans="2:70" ht="18" customHeight="1">
      <c r="B36" s="3"/>
      <c r="C36" s="20"/>
      <c r="D36" s="20"/>
      <c r="E36" s="3"/>
      <c r="U36" s="3"/>
      <c r="AB36" s="20"/>
      <c r="AC36" s="20"/>
      <c r="AE36" s="12"/>
      <c r="AF36" s="12"/>
      <c r="AL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</row>
    <row r="37" spans="2:70" ht="18" customHeight="1">
      <c r="B37" s="3"/>
      <c r="E37" s="53" t="s">
        <v>203</v>
      </c>
      <c r="F37" s="54"/>
      <c r="G37" s="54"/>
      <c r="H37" s="54"/>
      <c r="I37" s="54"/>
      <c r="J37" s="55"/>
      <c r="K37" s="352" t="s">
        <v>205</v>
      </c>
      <c r="L37" s="353"/>
      <c r="M37" s="353"/>
      <c r="N37" s="353"/>
      <c r="O37" s="353"/>
      <c r="P37" s="352" t="s">
        <v>206</v>
      </c>
      <c r="Q37" s="353"/>
      <c r="R37" s="353"/>
      <c r="S37" s="353"/>
      <c r="T37" s="353"/>
      <c r="U37" s="352" t="s">
        <v>207</v>
      </c>
      <c r="V37" s="353"/>
      <c r="W37" s="353"/>
      <c r="X37" s="353"/>
      <c r="Y37" s="353"/>
      <c r="Z37" s="57"/>
      <c r="AL37" s="350" t="s">
        <v>179</v>
      </c>
      <c r="AM37" s="351"/>
      <c r="AN37" s="127" t="s">
        <v>107</v>
      </c>
      <c r="AO37" s="171">
        <f>AO32</f>
        <v>117.88880455886463</v>
      </c>
      <c r="AP37" s="171"/>
      <c r="AQ37" s="172"/>
      <c r="AR37" s="26" t="str">
        <f>IF(AO37&lt;=AX37, "≦", "&gt;")</f>
        <v>≦</v>
      </c>
      <c r="AS37" s="185" t="s">
        <v>117</v>
      </c>
      <c r="AT37" s="186"/>
      <c r="AU37" s="186"/>
      <c r="AV37" s="186"/>
      <c r="AW37" s="186"/>
      <c r="AX37" s="214">
        <f>'1.設計条件'!T32</f>
        <v>300</v>
      </c>
      <c r="AY37" s="349"/>
      <c r="AZ37" s="3"/>
      <c r="BA37" s="185" t="str">
        <f>IF(AR37="≦", "OK", "NG")</f>
        <v>OK</v>
      </c>
      <c r="BB37" s="187"/>
    </row>
    <row r="38" spans="2:70" ht="18" customHeight="1">
      <c r="B38" s="3"/>
      <c r="E38" s="350" t="s">
        <v>170</v>
      </c>
      <c r="F38" s="351"/>
      <c r="G38" s="56" t="s">
        <v>204</v>
      </c>
      <c r="H38" s="54"/>
      <c r="I38" s="54"/>
      <c r="J38" s="55"/>
      <c r="K38" s="147">
        <v>0.5</v>
      </c>
      <c r="L38" s="148"/>
      <c r="M38" s="148"/>
      <c r="N38" s="148"/>
      <c r="O38" s="149"/>
      <c r="P38" s="147">
        <v>0.6</v>
      </c>
      <c r="Q38" s="148"/>
      <c r="R38" s="148"/>
      <c r="S38" s="148"/>
      <c r="T38" s="149"/>
      <c r="U38" s="147">
        <v>0.7</v>
      </c>
      <c r="V38" s="148"/>
      <c r="W38" s="148"/>
      <c r="X38" s="148"/>
      <c r="Y38" s="148"/>
      <c r="Z38" s="39"/>
      <c r="AI38">
        <f>'3.照査'!BR38+1</f>
        <v>13</v>
      </c>
      <c r="BR38">
        <f>AI38+1</f>
        <v>14</v>
      </c>
    </row>
  </sheetData>
  <sheetProtection sheet="1" objects="1" scenarios="1"/>
  <mergeCells count="179">
    <mergeCell ref="AL2:AM2"/>
    <mergeCell ref="AO2:AQ2"/>
    <mergeCell ref="AL3:AM3"/>
    <mergeCell ref="AQ3:AR3"/>
    <mergeCell ref="AT3:AV3"/>
    <mergeCell ref="AX3:AZ3"/>
    <mergeCell ref="K5:L5"/>
    <mergeCell ref="Q5:R5"/>
    <mergeCell ref="N4:O4"/>
    <mergeCell ref="AP4:AQ4"/>
    <mergeCell ref="AS4:AT4"/>
    <mergeCell ref="AS9:AT9"/>
    <mergeCell ref="AV9:AW9"/>
    <mergeCell ref="AY9:BA9"/>
    <mergeCell ref="C9:D9"/>
    <mergeCell ref="F9:G9"/>
    <mergeCell ref="I9:J9"/>
    <mergeCell ref="AN9:AN10"/>
    <mergeCell ref="AO9:AQ9"/>
    <mergeCell ref="C4:D5"/>
    <mergeCell ref="E4:E5"/>
    <mergeCell ref="F4:G4"/>
    <mergeCell ref="I4:J4"/>
    <mergeCell ref="F7:G7"/>
    <mergeCell ref="I7:J7"/>
    <mergeCell ref="AT7:AU7"/>
    <mergeCell ref="AZ7:BA7"/>
    <mergeCell ref="C7:D7"/>
    <mergeCell ref="AL6:AM7"/>
    <mergeCell ref="AN6:AN7"/>
    <mergeCell ref="AO6:AP6"/>
    <mergeCell ref="AR6:AS6"/>
    <mergeCell ref="AW6:AX6"/>
    <mergeCell ref="G11:H11"/>
    <mergeCell ref="L11:M11"/>
    <mergeCell ref="AO13:AP13"/>
    <mergeCell ref="AR13:AS13"/>
    <mergeCell ref="AU13:AV13"/>
    <mergeCell ref="AY13:BA13"/>
    <mergeCell ref="BC13:BD13"/>
    <mergeCell ref="AO10:AP10"/>
    <mergeCell ref="AR10:AS10"/>
    <mergeCell ref="AV10:AW10"/>
    <mergeCell ref="AY10:BA10"/>
    <mergeCell ref="BD10:BE10"/>
    <mergeCell ref="BH13:BJ13"/>
    <mergeCell ref="BH12:BJ12"/>
    <mergeCell ref="BL12:BL13"/>
    <mergeCell ref="BM12:BO13"/>
    <mergeCell ref="AX15:AZ15"/>
    <mergeCell ref="BB15:BD15"/>
    <mergeCell ref="BG15:BH15"/>
    <mergeCell ref="BK15:BM15"/>
    <mergeCell ref="C15:D16"/>
    <mergeCell ref="E15:E16"/>
    <mergeCell ref="G15:H15"/>
    <mergeCell ref="AL15:AM15"/>
    <mergeCell ref="AO15:AP15"/>
    <mergeCell ref="AR15:AS15"/>
    <mergeCell ref="AN12:AN13"/>
    <mergeCell ref="AO12:AQ12"/>
    <mergeCell ref="AS12:AU12"/>
    <mergeCell ref="BG12:BG13"/>
    <mergeCell ref="C13:D14"/>
    <mergeCell ref="E13:E14"/>
    <mergeCell ref="G13:H13"/>
    <mergeCell ref="J13:K13"/>
    <mergeCell ref="C11:D12"/>
    <mergeCell ref="E11:E12"/>
    <mergeCell ref="BK17:BM17"/>
    <mergeCell ref="C18:D18"/>
    <mergeCell ref="AL17:AM17"/>
    <mergeCell ref="AO17:AP17"/>
    <mergeCell ref="AR17:AS17"/>
    <mergeCell ref="AX17:AZ17"/>
    <mergeCell ref="BB17:BD17"/>
    <mergeCell ref="BG17:BH17"/>
    <mergeCell ref="F16:G16"/>
    <mergeCell ref="C20:D20"/>
    <mergeCell ref="W19:Y19"/>
    <mergeCell ref="AL19:AM19"/>
    <mergeCell ref="AO19:AP19"/>
    <mergeCell ref="AU19:AV19"/>
    <mergeCell ref="AX19:AY19"/>
    <mergeCell ref="BB19:BD19"/>
    <mergeCell ref="D19:E19"/>
    <mergeCell ref="G19:H19"/>
    <mergeCell ref="J19:K19"/>
    <mergeCell ref="N19:P19"/>
    <mergeCell ref="R19:T19"/>
    <mergeCell ref="AL21:AM21"/>
    <mergeCell ref="AQ21:AR21"/>
    <mergeCell ref="AU21:AV21"/>
    <mergeCell ref="AX21:AY21"/>
    <mergeCell ref="BB21:BD21"/>
    <mergeCell ref="D21:E21"/>
    <mergeCell ref="J21:L21"/>
    <mergeCell ref="N21:P21"/>
    <mergeCell ref="S21:T21"/>
    <mergeCell ref="U21:V21"/>
    <mergeCell ref="Y21:AA21"/>
    <mergeCell ref="BG23:BI24"/>
    <mergeCell ref="L23:M23"/>
    <mergeCell ref="N23:O23"/>
    <mergeCell ref="Q23:S23"/>
    <mergeCell ref="AL23:AM24"/>
    <mergeCell ref="AN23:AN24"/>
    <mergeCell ref="AP23:AQ23"/>
    <mergeCell ref="C22:D22"/>
    <mergeCell ref="D23:E23"/>
    <mergeCell ref="G23:H23"/>
    <mergeCell ref="C24:D24"/>
    <mergeCell ref="AO24:AP24"/>
    <mergeCell ref="AU24:AV24"/>
    <mergeCell ref="AX24:AY24"/>
    <mergeCell ref="BB24:BD24"/>
    <mergeCell ref="C25:D25"/>
    <mergeCell ref="AT23:AT24"/>
    <mergeCell ref="AW23:AX23"/>
    <mergeCell ref="BA23:BA24"/>
    <mergeCell ref="BB23:BD23"/>
    <mergeCell ref="C28:D28"/>
    <mergeCell ref="AO28:AQ28"/>
    <mergeCell ref="C29:D29"/>
    <mergeCell ref="BL26:BN26"/>
    <mergeCell ref="H27:I27"/>
    <mergeCell ref="K27:L27"/>
    <mergeCell ref="R27:S27"/>
    <mergeCell ref="BC27:BE27"/>
    <mergeCell ref="BL27:BN27"/>
    <mergeCell ref="AP26:AQ26"/>
    <mergeCell ref="AU26:AV26"/>
    <mergeCell ref="AY26:AY27"/>
    <mergeCell ref="BA26:BC26"/>
    <mergeCell ref="BG26:BH26"/>
    <mergeCell ref="BK26:BK27"/>
    <mergeCell ref="C26:D26"/>
    <mergeCell ref="AL26:AM27"/>
    <mergeCell ref="AN26:AN27"/>
    <mergeCell ref="BF23:BF24"/>
    <mergeCell ref="AY30:AY31"/>
    <mergeCell ref="BA30:BC30"/>
    <mergeCell ref="BE30:BF30"/>
    <mergeCell ref="BK30:BK31"/>
    <mergeCell ref="BL30:BN30"/>
    <mergeCell ref="C31:D31"/>
    <mergeCell ref="BC31:BE31"/>
    <mergeCell ref="BL31:BN31"/>
    <mergeCell ref="C30:D30"/>
    <mergeCell ref="AL30:AM31"/>
    <mergeCell ref="AN30:AN31"/>
    <mergeCell ref="AP30:AQ30"/>
    <mergeCell ref="AS30:AT30"/>
    <mergeCell ref="C34:D34"/>
    <mergeCell ref="AB34:AC34"/>
    <mergeCell ref="AE34:AF34"/>
    <mergeCell ref="C35:D35"/>
    <mergeCell ref="AB35:AC35"/>
    <mergeCell ref="AE35:AF35"/>
    <mergeCell ref="C32:D32"/>
    <mergeCell ref="AO32:AQ32"/>
    <mergeCell ref="C33:D33"/>
    <mergeCell ref="AS37:AW37"/>
    <mergeCell ref="AX37:AY37"/>
    <mergeCell ref="BA37:BB37"/>
    <mergeCell ref="E38:F38"/>
    <mergeCell ref="K38:O38"/>
    <mergeCell ref="P38:T38"/>
    <mergeCell ref="U38:Y38"/>
    <mergeCell ref="AL35:AM35"/>
    <mergeCell ref="AO35:AQ35"/>
    <mergeCell ref="AS35:AW35"/>
    <mergeCell ref="AX35:AY35"/>
    <mergeCell ref="BA35:BB35"/>
    <mergeCell ref="K37:O37"/>
    <mergeCell ref="P37:T37"/>
    <mergeCell ref="U37:Y37"/>
    <mergeCell ref="AL37:AM37"/>
    <mergeCell ref="AO37:AQ37"/>
  </mergeCells>
  <phoneticPr fontId="1"/>
  <conditionalFormatting sqref="BA35:BB35">
    <cfRule type="cellIs" dxfId="4" priority="2" operator="equal">
      <formula>"NG"</formula>
    </cfRule>
  </conditionalFormatting>
  <conditionalFormatting sqref="BA37:BB37">
    <cfRule type="cellIs" dxfId="3" priority="1" operator="equal">
      <formula>"NG"</formula>
    </cfRule>
  </conditionalFormatting>
  <pageMargins left="0.70866141732283472" right="0.70866141732283472" top="0.74803149606299213" bottom="0.74803149606299213" header="0.31496062992125984" footer="0.31496062992125984"/>
  <pageSetup paperSize="9" scale="74" orientation="portrait" r:id="rId1"/>
  <colBreaks count="1" manualBreakCount="1">
    <brk id="35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BD4C8-F266-4A6E-9AAC-1390F7C858E8}">
  <dimension ref="A1:DB38"/>
  <sheetViews>
    <sheetView showGridLines="0" view="pageBreakPreview" zoomScale="60" zoomScaleNormal="70" workbookViewId="0">
      <selection activeCell="A2" sqref="A2"/>
    </sheetView>
  </sheetViews>
  <sheetFormatPr defaultRowHeight="18"/>
  <cols>
    <col min="1" max="140" width="3" customWidth="1"/>
  </cols>
  <sheetData>
    <row r="1" spans="1:105" ht="18" customHeight="1">
      <c r="A1" s="3" t="s">
        <v>508</v>
      </c>
      <c r="CQ1" s="34"/>
      <c r="CR1" s="35"/>
      <c r="CS1" s="35"/>
      <c r="CT1" s="35"/>
      <c r="CU1" s="35"/>
      <c r="CV1" s="35"/>
      <c r="CW1" s="35"/>
      <c r="CX1" s="35"/>
      <c r="CY1" s="35"/>
      <c r="CZ1" s="35"/>
      <c r="DA1" s="40"/>
    </row>
    <row r="2" spans="1:105" ht="18" customHeight="1">
      <c r="B2" t="s">
        <v>431</v>
      </c>
      <c r="AL2" t="s">
        <v>509</v>
      </c>
      <c r="CQ2" s="5"/>
      <c r="DA2" s="6"/>
    </row>
    <row r="3" spans="1:105" ht="18" customHeight="1">
      <c r="B3" t="s">
        <v>485</v>
      </c>
      <c r="AM3" t="s">
        <v>523</v>
      </c>
      <c r="BV3" t="s">
        <v>316</v>
      </c>
      <c r="CN3" s="19"/>
      <c r="CO3" s="19"/>
      <c r="CP3" s="19"/>
      <c r="CQ3" s="85"/>
      <c r="CR3" s="19"/>
      <c r="CS3" s="19"/>
      <c r="DA3" s="6"/>
    </row>
    <row r="4" spans="1:105" ht="18" customHeight="1">
      <c r="C4" t="s">
        <v>486</v>
      </c>
      <c r="BV4" s="259" t="s">
        <v>329</v>
      </c>
      <c r="BW4" s="259"/>
      <c r="BX4" s="14" t="s">
        <v>2</v>
      </c>
      <c r="BY4" s="31" t="s">
        <v>36</v>
      </c>
      <c r="BZ4" t="s">
        <v>49</v>
      </c>
      <c r="CA4" s="259" t="s">
        <v>330</v>
      </c>
      <c r="CB4" s="259"/>
      <c r="CC4" s="1" t="s">
        <v>43</v>
      </c>
      <c r="CD4" s="267" t="s">
        <v>233</v>
      </c>
      <c r="CE4" s="267"/>
      <c r="CQ4" s="5"/>
      <c r="CR4" s="19"/>
      <c r="CS4" s="19"/>
      <c r="DA4" s="6"/>
    </row>
    <row r="5" spans="1:105">
      <c r="D5" t="s">
        <v>430</v>
      </c>
      <c r="AL5" t="s">
        <v>510</v>
      </c>
      <c r="BX5" s="14" t="s">
        <v>2</v>
      </c>
      <c r="BY5" s="262">
        <f>'1.設計条件'!T7</f>
        <v>1.1000000000000001</v>
      </c>
      <c r="BZ5" s="262"/>
      <c r="CA5" t="s">
        <v>49</v>
      </c>
      <c r="CB5" s="259" t="s">
        <v>330</v>
      </c>
      <c r="CC5" s="259"/>
      <c r="CD5" s="1" t="s">
        <v>43</v>
      </c>
      <c r="CE5" s="263">
        <f>'1.設計条件'!T13</f>
        <v>0.4</v>
      </c>
      <c r="CF5" s="263"/>
      <c r="CQ5" s="5"/>
      <c r="DA5" s="6"/>
    </row>
    <row r="6" spans="1:105">
      <c r="C6" t="s">
        <v>487</v>
      </c>
      <c r="AM6" t="s">
        <v>515</v>
      </c>
      <c r="CQ6" s="5"/>
      <c r="DA6" s="6"/>
    </row>
    <row r="7" spans="1:105">
      <c r="D7" t="s">
        <v>308</v>
      </c>
      <c r="AM7" t="s">
        <v>516</v>
      </c>
      <c r="CQ7" s="5"/>
      <c r="DA7" s="6"/>
    </row>
    <row r="8" spans="1:105">
      <c r="D8" s="218" t="s">
        <v>307</v>
      </c>
      <c r="E8" s="218"/>
      <c r="F8" t="s">
        <v>2</v>
      </c>
      <c r="G8" s="216">
        <f>'2.土圧'!CV11</f>
        <v>41.238851122960298</v>
      </c>
      <c r="H8" s="216"/>
      <c r="I8" s="216"/>
      <c r="J8" s="19" t="s">
        <v>74</v>
      </c>
      <c r="AM8" s="359" t="s">
        <v>182</v>
      </c>
      <c r="AN8" s="359"/>
      <c r="AO8" s="4" t="s">
        <v>2</v>
      </c>
      <c r="AP8" s="262">
        <f>'3.照査 (2)'!Y21</f>
        <v>6.5699010647040952</v>
      </c>
      <c r="AQ8" s="262"/>
      <c r="AR8" s="262"/>
      <c r="AS8" s="1" t="s">
        <v>3</v>
      </c>
      <c r="AW8" s="260" t="s">
        <v>164</v>
      </c>
      <c r="AX8" s="260"/>
      <c r="AY8" s="4" t="s">
        <v>2</v>
      </c>
      <c r="AZ8" s="216">
        <f>'3.照査 (2)'!BM12</f>
        <v>9.8330076625911857</v>
      </c>
      <c r="BA8" s="216"/>
      <c r="BB8" s="216"/>
      <c r="BC8" s="19" t="s">
        <v>74</v>
      </c>
      <c r="BG8" s="34"/>
      <c r="BH8" s="35"/>
      <c r="BI8" s="35"/>
      <c r="BJ8" s="35"/>
      <c r="BK8" s="35"/>
      <c r="BL8" s="35"/>
      <c r="BM8" s="35"/>
      <c r="BN8" s="35"/>
      <c r="BO8" s="35"/>
      <c r="BP8" s="35"/>
      <c r="BQ8" s="40"/>
      <c r="BV8" s="68" t="s">
        <v>336</v>
      </c>
      <c r="CQ8" s="5"/>
      <c r="DA8" s="6"/>
    </row>
    <row r="9" spans="1:105" ht="19.2">
      <c r="D9" s="218" t="s">
        <v>306</v>
      </c>
      <c r="E9" s="218"/>
      <c r="F9" s="387" t="s">
        <v>2</v>
      </c>
      <c r="G9" s="391">
        <v>2</v>
      </c>
      <c r="H9" s="391"/>
      <c r="I9" s="74" t="s">
        <v>48</v>
      </c>
      <c r="J9" s="246" t="s">
        <v>307</v>
      </c>
      <c r="K9" s="246"/>
      <c r="M9" s="254" t="s">
        <v>2</v>
      </c>
      <c r="N9" s="391">
        <v>2</v>
      </c>
      <c r="O9" s="391"/>
      <c r="P9" s="74" t="s">
        <v>48</v>
      </c>
      <c r="Q9" s="258">
        <f>G8</f>
        <v>41.238851122960298</v>
      </c>
      <c r="R9" s="222"/>
      <c r="S9" s="222"/>
      <c r="U9" s="254" t="s">
        <v>2</v>
      </c>
      <c r="V9" s="216">
        <f>N9*Q9/N10/Q10^2</f>
        <v>0.11666035197940651</v>
      </c>
      <c r="W9" s="216"/>
      <c r="X9" s="216"/>
      <c r="AM9" s="260" t="s">
        <v>170</v>
      </c>
      <c r="AN9" s="260"/>
      <c r="AO9" s="4" t="s">
        <v>2</v>
      </c>
      <c r="AP9" s="357">
        <f>'3.照査 (2)'!AE34</f>
        <v>0.6</v>
      </c>
      <c r="AQ9" s="357"/>
      <c r="AR9" s="357"/>
      <c r="AS9" s="52"/>
      <c r="AU9" s="4"/>
      <c r="AV9" s="98"/>
      <c r="AW9" s="260" t="s">
        <v>181</v>
      </c>
      <c r="AX9" s="260"/>
      <c r="AY9" s="4" t="s">
        <v>2</v>
      </c>
      <c r="AZ9" s="216">
        <f>'3.照査 (2)'!BG23</f>
        <v>4.9889171672197064</v>
      </c>
      <c r="BA9" s="216"/>
      <c r="BB9" s="216"/>
      <c r="BC9" s="19" t="s">
        <v>33</v>
      </c>
      <c r="BD9" s="95"/>
      <c r="BE9" s="95"/>
      <c r="BG9" s="5"/>
      <c r="BQ9" s="6"/>
      <c r="BV9" s="259" t="s">
        <v>330</v>
      </c>
      <c r="BW9" s="259"/>
      <c r="BX9" s="292" t="s">
        <v>2</v>
      </c>
      <c r="BY9" s="77">
        <v>2</v>
      </c>
      <c r="BZ9" s="293" t="s">
        <v>181</v>
      </c>
      <c r="CA9" s="293"/>
      <c r="CB9" s="44" t="s">
        <v>49</v>
      </c>
      <c r="CC9" s="293" t="s">
        <v>321</v>
      </c>
      <c r="CD9" s="293"/>
      <c r="CE9" s="10"/>
      <c r="CF9" s="218" t="s">
        <v>322</v>
      </c>
      <c r="CG9" s="218"/>
      <c r="CH9" s="141" t="s">
        <v>43</v>
      </c>
      <c r="CI9" s="268" t="s">
        <v>175</v>
      </c>
      <c r="CJ9" s="268"/>
      <c r="CK9" s="356" t="s">
        <v>426</v>
      </c>
      <c r="CQ9" s="5"/>
      <c r="DA9" s="6"/>
    </row>
    <row r="10" spans="1:105">
      <c r="D10" s="218"/>
      <c r="E10" s="218"/>
      <c r="F10" s="387"/>
      <c r="G10" s="389" t="s">
        <v>17</v>
      </c>
      <c r="H10" s="389"/>
      <c r="I10" t="s">
        <v>48</v>
      </c>
      <c r="J10" s="218" t="s">
        <v>302</v>
      </c>
      <c r="K10" s="218"/>
      <c r="M10" s="254"/>
      <c r="N10" s="390">
        <f>'1.設計条件'!T25</f>
        <v>19</v>
      </c>
      <c r="O10" s="366"/>
      <c r="P10" t="s">
        <v>48</v>
      </c>
      <c r="Q10" s="143">
        <f>'1.設計条件'!T5</f>
        <v>6.1</v>
      </c>
      <c r="R10" s="143"/>
      <c r="S10" s="75" t="s">
        <v>303</v>
      </c>
      <c r="U10" s="254"/>
      <c r="V10" s="216"/>
      <c r="W10" s="216"/>
      <c r="X10" s="216"/>
      <c r="AM10" s="359" t="s">
        <v>199</v>
      </c>
      <c r="AN10" s="359"/>
      <c r="AO10" s="4" t="s">
        <v>2</v>
      </c>
      <c r="AP10" s="262">
        <f>AP9*AP8</f>
        <v>3.9419406388224569</v>
      </c>
      <c r="AQ10" s="262"/>
      <c r="AR10" s="262"/>
      <c r="AS10" s="1" t="s">
        <v>3</v>
      </c>
      <c r="AU10" s="4"/>
      <c r="AV10" s="98"/>
      <c r="AW10" s="356" t="s">
        <v>426</v>
      </c>
      <c r="AX10" s="356"/>
      <c r="AY10" s="4" t="s">
        <v>2</v>
      </c>
      <c r="AZ10" s="220">
        <f>'3.照査 (2)'!Q23</f>
        <v>21.8</v>
      </c>
      <c r="BA10" s="220"/>
      <c r="BB10" s="220"/>
      <c r="BC10" s="19" t="s">
        <v>18</v>
      </c>
      <c r="BD10" s="95"/>
      <c r="BE10" s="95"/>
      <c r="BG10" s="5"/>
      <c r="BQ10" s="6"/>
      <c r="BV10" s="259"/>
      <c r="BW10" s="259"/>
      <c r="BX10" s="292"/>
      <c r="BY10" s="12">
        <v>3</v>
      </c>
      <c r="BZ10" s="19" t="s">
        <v>41</v>
      </c>
      <c r="CA10" s="43" t="s">
        <v>181</v>
      </c>
      <c r="CB10" s="43" t="s">
        <v>49</v>
      </c>
      <c r="CC10" s="260" t="s">
        <v>321</v>
      </c>
      <c r="CD10" s="260"/>
      <c r="CE10" s="19" t="s">
        <v>42</v>
      </c>
      <c r="CF10" s="218"/>
      <c r="CG10" s="218"/>
      <c r="CH10" s="141"/>
      <c r="CI10" s="268"/>
      <c r="CJ10" s="268"/>
      <c r="CK10" s="356"/>
      <c r="CQ10" s="5"/>
      <c r="DA10" s="6"/>
    </row>
    <row r="11" spans="1:105">
      <c r="D11" t="s">
        <v>310</v>
      </c>
      <c r="AM11" s="97"/>
      <c r="AN11" s="97"/>
      <c r="AO11" s="4"/>
      <c r="AP11" s="20"/>
      <c r="AQ11" s="20"/>
      <c r="AS11" s="52"/>
      <c r="AU11" s="4"/>
      <c r="AV11" s="98"/>
      <c r="AW11" s="96"/>
      <c r="AY11" s="95"/>
      <c r="AZ11" s="95"/>
      <c r="BB11" s="4"/>
      <c r="BC11" s="95"/>
      <c r="BD11" s="95"/>
      <c r="BE11" s="95"/>
      <c r="BG11" s="5"/>
      <c r="BQ11" s="6"/>
      <c r="BX11" s="292" t="s">
        <v>2</v>
      </c>
      <c r="BY11" s="77">
        <v>2</v>
      </c>
      <c r="BZ11" s="18" t="s">
        <v>43</v>
      </c>
      <c r="CA11" s="295">
        <f>AZ9</f>
        <v>4.9889171672197064</v>
      </c>
      <c r="CB11" s="296"/>
      <c r="CC11" s="44" t="s">
        <v>49</v>
      </c>
      <c r="CD11" s="295">
        <f>AP23</f>
        <v>4.9889171672197064</v>
      </c>
      <c r="CE11" s="296"/>
      <c r="CF11" s="10" t="s">
        <v>82</v>
      </c>
      <c r="CG11" s="295">
        <f>AS23</f>
        <v>1.2655992629838291</v>
      </c>
      <c r="CH11" s="296"/>
      <c r="CI11" s="67" t="s">
        <v>322</v>
      </c>
      <c r="CJ11" s="10"/>
      <c r="CK11" s="218" t="s">
        <v>322</v>
      </c>
      <c r="CL11" s="218"/>
      <c r="CM11" s="268" t="s">
        <v>175</v>
      </c>
      <c r="CN11" s="268"/>
      <c r="CO11" s="220">
        <f>BB33</f>
        <v>21.8</v>
      </c>
      <c r="CP11" s="141"/>
      <c r="CQ11" s="5"/>
      <c r="DA11" s="6"/>
    </row>
    <row r="12" spans="1:105">
      <c r="D12" s="218" t="s">
        <v>304</v>
      </c>
      <c r="E12" s="218"/>
      <c r="F12" t="s">
        <v>2</v>
      </c>
      <c r="G12" s="218" t="s">
        <v>306</v>
      </c>
      <c r="H12" s="218"/>
      <c r="I12" t="s">
        <v>48</v>
      </c>
      <c r="J12" s="219" t="s">
        <v>17</v>
      </c>
      <c r="K12" s="219"/>
      <c r="L12" t="s">
        <v>48</v>
      </c>
      <c r="M12" s="218" t="s">
        <v>305</v>
      </c>
      <c r="N12" s="218"/>
      <c r="P12" t="s">
        <v>2</v>
      </c>
      <c r="Q12" s="216">
        <f>V9</f>
        <v>0.11666035197940651</v>
      </c>
      <c r="R12" s="141"/>
      <c r="S12" s="1" t="s">
        <v>43</v>
      </c>
      <c r="T12" s="217">
        <f>'1.設計条件'!T25</f>
        <v>19</v>
      </c>
      <c r="U12" s="217"/>
      <c r="V12" s="1" t="s">
        <v>43</v>
      </c>
      <c r="W12" s="218" t="s">
        <v>305</v>
      </c>
      <c r="X12" s="218"/>
      <c r="Z12" t="s">
        <v>2</v>
      </c>
      <c r="AA12" s="216">
        <f>Q12*T12</f>
        <v>2.2165466876087239</v>
      </c>
      <c r="AB12" s="216"/>
      <c r="AC12" s="216"/>
      <c r="AD12" s="218" t="s">
        <v>305</v>
      </c>
      <c r="AE12" s="218"/>
      <c r="AM12" t="s">
        <v>432</v>
      </c>
      <c r="BG12" s="5"/>
      <c r="BQ12" s="6"/>
      <c r="BX12" s="292"/>
      <c r="BY12" s="12">
        <v>3</v>
      </c>
      <c r="BZ12" s="19" t="s">
        <v>41</v>
      </c>
      <c r="CA12" s="262">
        <f>AZ9</f>
        <v>4.9889171672197064</v>
      </c>
      <c r="CB12" s="268"/>
      <c r="CC12" s="43" t="s">
        <v>49</v>
      </c>
      <c r="CD12" s="262">
        <f>AP23</f>
        <v>4.9889171672197064</v>
      </c>
      <c r="CE12" s="268"/>
      <c r="CF12" t="s">
        <v>82</v>
      </c>
      <c r="CG12" s="262">
        <f>AS23</f>
        <v>1.2655992629838291</v>
      </c>
      <c r="CH12" s="268"/>
      <c r="CI12" s="2" t="s">
        <v>322</v>
      </c>
      <c r="CJ12" s="19" t="s">
        <v>42</v>
      </c>
      <c r="CK12" s="218"/>
      <c r="CL12" s="218"/>
      <c r="CM12" s="268"/>
      <c r="CN12" s="268"/>
      <c r="CO12" s="141"/>
      <c r="CP12" s="141"/>
      <c r="CQ12" s="5"/>
      <c r="DA12" s="6"/>
    </row>
    <row r="13" spans="1:105">
      <c r="AM13" s="218" t="s">
        <v>322</v>
      </c>
      <c r="AN13" s="218"/>
      <c r="AO13" s="254" t="s">
        <v>2</v>
      </c>
      <c r="AP13" s="246" t="s">
        <v>323</v>
      </c>
      <c r="AQ13" s="246"/>
      <c r="AR13" s="246"/>
      <c r="AT13" s="254" t="s">
        <v>2</v>
      </c>
      <c r="AU13" s="246" t="s">
        <v>323</v>
      </c>
      <c r="AV13" s="246"/>
      <c r="AW13" s="246"/>
      <c r="AX13" s="246"/>
      <c r="AZ13" s="254" t="s">
        <v>2</v>
      </c>
      <c r="BA13" s="216">
        <f>1/COS(AW14*PI()/180)</f>
        <v>1.0770223637762204</v>
      </c>
      <c r="BB13" s="216"/>
      <c r="BC13" s="218" t="s">
        <v>323</v>
      </c>
      <c r="BG13" s="5"/>
      <c r="BQ13" s="6"/>
      <c r="BX13" s="292" t="s">
        <v>2</v>
      </c>
      <c r="BY13" s="258">
        <f>BY11*CA11+CD11</f>
        <v>14.966751501659118</v>
      </c>
      <c r="BZ13" s="258"/>
      <c r="CA13" s="258"/>
      <c r="CB13" s="10" t="s">
        <v>82</v>
      </c>
      <c r="CC13" s="295">
        <f>CG11</f>
        <v>1.2655992629838291</v>
      </c>
      <c r="CD13" s="296"/>
      <c r="CE13" s="67" t="s">
        <v>322</v>
      </c>
      <c r="CF13" s="218" t="s">
        <v>322</v>
      </c>
      <c r="CG13" s="218"/>
      <c r="CH13" s="141" t="s">
        <v>43</v>
      </c>
      <c r="CI13" s="216">
        <f>COS(CO11*PI()/180)</f>
        <v>0.92848582688091352</v>
      </c>
      <c r="CJ13" s="216"/>
      <c r="CQ13" s="7"/>
      <c r="CR13" s="10"/>
      <c r="CS13" s="10"/>
      <c r="CT13" s="10"/>
      <c r="CU13" s="10"/>
      <c r="CV13" s="10"/>
      <c r="CW13" s="10"/>
      <c r="CX13" s="10"/>
      <c r="CY13" s="10"/>
      <c r="CZ13" s="10"/>
      <c r="DA13" s="8"/>
    </row>
    <row r="14" spans="1:105">
      <c r="D14" t="s">
        <v>314</v>
      </c>
      <c r="S14" s="34"/>
      <c r="T14" s="36"/>
      <c r="U14" s="36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40"/>
      <c r="AM14" s="218"/>
      <c r="AN14" s="218"/>
      <c r="AO14" s="254"/>
      <c r="AP14" s="141" t="s">
        <v>175</v>
      </c>
      <c r="AQ14" s="141"/>
      <c r="AR14" s="47" t="s">
        <v>426</v>
      </c>
      <c r="AT14" s="254"/>
      <c r="AU14" s="388" t="s">
        <v>175</v>
      </c>
      <c r="AV14" s="388"/>
      <c r="AW14" s="141">
        <f>-'2.土圧'!Q28</f>
        <v>21.8</v>
      </c>
      <c r="AX14" s="141"/>
      <c r="AY14" s="12"/>
      <c r="AZ14" s="254"/>
      <c r="BA14" s="216"/>
      <c r="BB14" s="216"/>
      <c r="BC14" s="218"/>
      <c r="BD14" s="21"/>
      <c r="BE14" s="79"/>
      <c r="BG14" s="104"/>
      <c r="BH14" s="79"/>
      <c r="BI14" s="105"/>
      <c r="BJ14" s="12"/>
      <c r="BQ14" s="6"/>
      <c r="BX14" s="292"/>
      <c r="BY14" s="216">
        <f>BY12*(CA12+CD12)</f>
        <v>29.933503003318236</v>
      </c>
      <c r="BZ14" s="216"/>
      <c r="CA14" s="216"/>
      <c r="CB14" t="s">
        <v>82</v>
      </c>
      <c r="CC14" s="262">
        <f>BY12*CG12</f>
        <v>3.796797788951487</v>
      </c>
      <c r="CD14" s="268"/>
      <c r="CE14" s="2" t="s">
        <v>322</v>
      </c>
      <c r="CF14" s="218"/>
      <c r="CG14" s="218"/>
      <c r="CH14" s="141"/>
      <c r="CI14" s="216"/>
      <c r="CJ14" s="216"/>
    </row>
    <row r="15" spans="1:105">
      <c r="D15" s="218" t="s">
        <v>309</v>
      </c>
      <c r="E15" s="218"/>
      <c r="F15" s="387" t="s">
        <v>2</v>
      </c>
      <c r="G15" s="246" t="s">
        <v>304</v>
      </c>
      <c r="H15" s="246"/>
      <c r="I15" s="10" t="s">
        <v>48</v>
      </c>
      <c r="J15" s="246" t="s">
        <v>305</v>
      </c>
      <c r="K15" s="246"/>
      <c r="O15" s="1"/>
      <c r="S15" s="5"/>
      <c r="AH15" s="6"/>
      <c r="BG15" s="5"/>
      <c r="BQ15" s="6"/>
      <c r="BX15" s="292" t="s">
        <v>2</v>
      </c>
      <c r="BY15" s="258">
        <f>BY13*CI13</f>
        <v>13.896416643739121</v>
      </c>
      <c r="BZ15" s="258"/>
      <c r="CA15" s="258"/>
      <c r="CB15" s="10" t="s">
        <v>82</v>
      </c>
      <c r="CC15" s="295">
        <f>CC13*CI13</f>
        <v>1.1750909781914152</v>
      </c>
      <c r="CD15" s="296"/>
      <c r="CE15" s="67" t="s">
        <v>322</v>
      </c>
      <c r="CF15" s="218" t="s">
        <v>322</v>
      </c>
      <c r="CG15" s="218"/>
      <c r="CN15" s="34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40"/>
    </row>
    <row r="16" spans="1:105" ht="18" customHeight="1">
      <c r="D16" s="218"/>
      <c r="E16" s="218"/>
      <c r="F16" s="387"/>
      <c r="I16" s="1">
        <v>2</v>
      </c>
      <c r="S16" s="5"/>
      <c r="AH16" s="6"/>
      <c r="AM16" s="43"/>
      <c r="AN16" s="43"/>
      <c r="AO16" s="43"/>
      <c r="AP16" s="43"/>
      <c r="AQ16" s="43"/>
      <c r="AS16" s="47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G16" s="106"/>
      <c r="BH16" s="43"/>
      <c r="BI16" s="43"/>
      <c r="BJ16" s="43"/>
      <c r="BK16" s="43"/>
      <c r="BL16" s="43"/>
      <c r="BM16" s="43"/>
      <c r="BN16" s="43"/>
      <c r="BO16" s="43"/>
      <c r="BP16" s="43"/>
      <c r="BQ16" s="6"/>
      <c r="BX16" s="292"/>
      <c r="BY16" s="216">
        <f>BY14</f>
        <v>29.933503003318236</v>
      </c>
      <c r="BZ16" s="216"/>
      <c r="CA16" s="216"/>
      <c r="CB16" t="s">
        <v>82</v>
      </c>
      <c r="CC16" s="262">
        <f>CC14</f>
        <v>3.796797788951487</v>
      </c>
      <c r="CD16" s="268"/>
      <c r="CE16" s="2" t="s">
        <v>322</v>
      </c>
      <c r="CF16" s="218"/>
      <c r="CG16" s="218"/>
      <c r="CN16" s="5"/>
      <c r="DA16" s="6"/>
    </row>
    <row r="17" spans="4:106" ht="18" customHeight="1">
      <c r="D17" s="13" t="s">
        <v>69</v>
      </c>
      <c r="S17" s="5"/>
      <c r="AH17" s="6"/>
      <c r="AM17" t="s">
        <v>433</v>
      </c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G17" s="106"/>
      <c r="BH17" s="43"/>
      <c r="BI17" s="43"/>
      <c r="BJ17" s="43"/>
      <c r="BK17" s="43"/>
      <c r="BL17" s="43"/>
      <c r="BM17" s="43"/>
      <c r="BN17" s="43"/>
      <c r="BO17" s="43"/>
      <c r="BP17" s="43"/>
      <c r="BQ17" s="6"/>
      <c r="CN17" s="5"/>
      <c r="DA17" s="6"/>
    </row>
    <row r="18" spans="4:106" ht="18" customHeight="1">
      <c r="D18" s="259" t="s">
        <v>446</v>
      </c>
      <c r="E18" s="259"/>
      <c r="F18" s="14" t="s">
        <v>2</v>
      </c>
      <c r="G18" s="260" t="s">
        <v>309</v>
      </c>
      <c r="H18" s="260"/>
      <c r="I18" s="261" t="s">
        <v>78</v>
      </c>
      <c r="J18" s="261"/>
      <c r="K18" s="261"/>
      <c r="L18" s="261"/>
      <c r="S18" s="5"/>
      <c r="AH18" s="6"/>
      <c r="AM18" t="s">
        <v>434</v>
      </c>
      <c r="BG18" s="5"/>
      <c r="BQ18" s="6"/>
      <c r="BV18" s="68" t="s">
        <v>335</v>
      </c>
      <c r="CN18" s="5"/>
      <c r="DA18" s="6"/>
    </row>
    <row r="19" spans="4:106" ht="18" customHeight="1">
      <c r="F19" s="14" t="s">
        <v>2</v>
      </c>
      <c r="G19" s="260" t="s">
        <v>309</v>
      </c>
      <c r="H19" s="260"/>
      <c r="I19" s="261" t="s">
        <v>71</v>
      </c>
      <c r="J19" s="261"/>
      <c r="K19" s="261"/>
      <c r="L19" s="263">
        <f>'2.土圧'!Q28</f>
        <v>-21.8</v>
      </c>
      <c r="M19" s="263"/>
      <c r="N19" s="14" t="s">
        <v>72</v>
      </c>
      <c r="O19" s="263">
        <f>'2.土圧'!O30</f>
        <v>23.333333333333332</v>
      </c>
      <c r="P19" s="263"/>
      <c r="Q19" s="13" t="s">
        <v>73</v>
      </c>
      <c r="S19" s="5"/>
      <c r="AH19" s="6"/>
      <c r="AM19" s="260" t="s">
        <v>321</v>
      </c>
      <c r="AN19" s="260"/>
      <c r="AO19" s="292" t="s">
        <v>2</v>
      </c>
      <c r="AP19" s="293" t="s">
        <v>170</v>
      </c>
      <c r="AQ19" s="293"/>
      <c r="AR19" s="10" t="s">
        <v>48</v>
      </c>
      <c r="AS19" s="78" t="s">
        <v>182</v>
      </c>
      <c r="AT19" s="10" t="s">
        <v>82</v>
      </c>
      <c r="AU19" s="67" t="s">
        <v>322</v>
      </c>
      <c r="AV19" s="260" t="s">
        <v>181</v>
      </c>
      <c r="AW19" s="260"/>
      <c r="BG19" s="5"/>
      <c r="BQ19" s="6"/>
      <c r="BV19" s="259" t="s">
        <v>330</v>
      </c>
      <c r="BW19" s="259"/>
      <c r="BX19" s="292" t="s">
        <v>2</v>
      </c>
      <c r="BY19" s="218" t="s">
        <v>305</v>
      </c>
      <c r="BZ19" s="218"/>
      <c r="CA19" s="254" t="s">
        <v>82</v>
      </c>
      <c r="CB19" s="77">
        <v>1</v>
      </c>
      <c r="CC19" s="218" t="s">
        <v>322</v>
      </c>
      <c r="CD19" s="218"/>
      <c r="CE19" s="141" t="s">
        <v>43</v>
      </c>
      <c r="CF19" s="268" t="s">
        <v>175</v>
      </c>
      <c r="CG19" s="268"/>
      <c r="CH19" s="356" t="s">
        <v>426</v>
      </c>
      <c r="CN19" s="5"/>
      <c r="DA19" s="6"/>
    </row>
    <row r="20" spans="4:106" ht="18" customHeight="1">
      <c r="F20" s="14" t="s">
        <v>2</v>
      </c>
      <c r="G20" s="262">
        <f>COS((L19+O19)*PI()/180)</f>
        <v>0.99964192667130958</v>
      </c>
      <c r="H20" s="262"/>
      <c r="I20" s="260" t="s">
        <v>309</v>
      </c>
      <c r="J20" s="260"/>
      <c r="K20" s="19" t="s">
        <v>74</v>
      </c>
      <c r="S20" s="5"/>
      <c r="AH20" s="6"/>
      <c r="AM20" s="260"/>
      <c r="AN20" s="260"/>
      <c r="AO20" s="292"/>
      <c r="AQ20" s="260" t="s">
        <v>170</v>
      </c>
      <c r="AR20" s="260"/>
      <c r="AS20" t="s">
        <v>48</v>
      </c>
      <c r="AT20" s="52" t="s">
        <v>182</v>
      </c>
      <c r="AV20" s="260"/>
      <c r="AW20" s="260"/>
      <c r="BG20" s="5"/>
      <c r="BI20" s="13"/>
      <c r="BJ20" s="33"/>
      <c r="BK20" s="33"/>
      <c r="BM20" s="33"/>
      <c r="BN20" s="33"/>
      <c r="BO20" s="2"/>
      <c r="BQ20" s="6"/>
      <c r="BV20" s="259"/>
      <c r="BW20" s="259"/>
      <c r="BX20" s="292"/>
      <c r="BY20" s="218"/>
      <c r="BZ20" s="218"/>
      <c r="CA20" s="254"/>
      <c r="CB20" s="12">
        <v>3</v>
      </c>
      <c r="CC20" s="218"/>
      <c r="CD20" s="218"/>
      <c r="CE20" s="141"/>
      <c r="CF20" s="268"/>
      <c r="CG20" s="268"/>
      <c r="CH20" s="356"/>
      <c r="CN20" s="5"/>
      <c r="DA20" s="6"/>
    </row>
    <row r="21" spans="4:106">
      <c r="D21" s="13" t="s">
        <v>75</v>
      </c>
      <c r="S21" s="5"/>
      <c r="AH21" s="6"/>
      <c r="AO21" s="292" t="s">
        <v>2</v>
      </c>
      <c r="AP21" s="386">
        <f>AP9</f>
        <v>0.6</v>
      </c>
      <c r="AQ21" s="296"/>
      <c r="AR21" s="10" t="s">
        <v>48</v>
      </c>
      <c r="AS21" s="295">
        <f>AP8</f>
        <v>6.5699010647040952</v>
      </c>
      <c r="AT21" s="295"/>
      <c r="AU21" s="10" t="s">
        <v>82</v>
      </c>
      <c r="AV21" s="67" t="s">
        <v>322</v>
      </c>
      <c r="AW21" s="216">
        <f>AZ9</f>
        <v>4.9889171672197064</v>
      </c>
      <c r="AX21" s="141"/>
      <c r="BG21" s="7"/>
      <c r="BH21" s="10"/>
      <c r="BI21" s="10"/>
      <c r="BJ21" s="10"/>
      <c r="BK21" s="10"/>
      <c r="BL21" s="10"/>
      <c r="BM21" s="10"/>
      <c r="BN21" s="10"/>
      <c r="BO21" s="10"/>
      <c r="BP21" s="10"/>
      <c r="BQ21" s="8"/>
      <c r="BX21" s="292" t="s">
        <v>2</v>
      </c>
      <c r="BY21" s="218" t="s">
        <v>305</v>
      </c>
      <c r="BZ21" s="218"/>
      <c r="CA21" s="254" t="s">
        <v>82</v>
      </c>
      <c r="CB21" s="77">
        <v>1</v>
      </c>
      <c r="CC21" s="218" t="s">
        <v>322</v>
      </c>
      <c r="CD21" s="218"/>
      <c r="CE21" s="141" t="s">
        <v>43</v>
      </c>
      <c r="CF21" s="268" t="s">
        <v>175</v>
      </c>
      <c r="CG21" s="268"/>
      <c r="CH21" s="220">
        <f>CO11</f>
        <v>21.8</v>
      </c>
      <c r="CI21" s="141"/>
      <c r="CN21" s="5"/>
      <c r="DA21" s="6"/>
    </row>
    <row r="22" spans="4:106">
      <c r="D22" s="259" t="s">
        <v>447</v>
      </c>
      <c r="E22" s="259"/>
      <c r="F22" s="14" t="s">
        <v>2</v>
      </c>
      <c r="G22" s="260" t="s">
        <v>309</v>
      </c>
      <c r="H22" s="260"/>
      <c r="I22" s="261" t="s">
        <v>79</v>
      </c>
      <c r="J22" s="261"/>
      <c r="K22" s="261"/>
      <c r="L22" s="261"/>
      <c r="S22" s="5"/>
      <c r="AH22" s="6"/>
      <c r="AO22" s="292"/>
      <c r="AQ22" s="357">
        <f>AP9</f>
        <v>0.6</v>
      </c>
      <c r="AR22" s="268"/>
      <c r="AS22" t="s">
        <v>48</v>
      </c>
      <c r="AT22" s="262">
        <f>AP8</f>
        <v>6.5699010647040952</v>
      </c>
      <c r="AU22" s="262"/>
      <c r="AW22" s="141"/>
      <c r="AX22" s="141"/>
      <c r="BX22" s="292"/>
      <c r="BY22" s="218"/>
      <c r="BZ22" s="218"/>
      <c r="CA22" s="254"/>
      <c r="CB22" s="12">
        <v>3</v>
      </c>
      <c r="CC22" s="218"/>
      <c r="CD22" s="218"/>
      <c r="CE22" s="141"/>
      <c r="CF22" s="268"/>
      <c r="CG22" s="268"/>
      <c r="CH22" s="141"/>
      <c r="CI22" s="141"/>
      <c r="CN22" s="5"/>
      <c r="CZ22" s="62"/>
      <c r="DA22" s="86"/>
      <c r="DB22" s="62"/>
    </row>
    <row r="23" spans="4:106">
      <c r="F23" s="14" t="s">
        <v>2</v>
      </c>
      <c r="G23" s="260" t="s">
        <v>309</v>
      </c>
      <c r="H23" s="260"/>
      <c r="I23" s="261" t="s">
        <v>77</v>
      </c>
      <c r="J23" s="261"/>
      <c r="K23" s="261"/>
      <c r="L23" s="263">
        <f>L19</f>
        <v>-21.8</v>
      </c>
      <c r="M23" s="263"/>
      <c r="N23" s="14" t="s">
        <v>72</v>
      </c>
      <c r="O23" s="263">
        <f>O19</f>
        <v>23.333333333333332</v>
      </c>
      <c r="P23" s="263"/>
      <c r="Q23" s="13" t="s">
        <v>73</v>
      </c>
      <c r="S23" s="5"/>
      <c r="AH23" s="6"/>
      <c r="AO23" s="14" t="s">
        <v>2</v>
      </c>
      <c r="AP23" s="216">
        <f>AP21*AS21*AW21/AQ22/AT22</f>
        <v>4.9889171672197064</v>
      </c>
      <c r="AQ23" s="216"/>
      <c r="AR23" t="s">
        <v>82</v>
      </c>
      <c r="AS23" s="216">
        <f>AW21/AQ22/AT22</f>
        <v>1.2655992629838291</v>
      </c>
      <c r="AT23" s="216"/>
      <c r="AU23" s="2" t="s">
        <v>322</v>
      </c>
      <c r="BX23" s="292" t="s">
        <v>2</v>
      </c>
      <c r="BY23" s="218" t="s">
        <v>305</v>
      </c>
      <c r="BZ23" s="218"/>
      <c r="CA23" s="254" t="s">
        <v>82</v>
      </c>
      <c r="CB23" s="77">
        <v>1</v>
      </c>
      <c r="CC23" s="218" t="s">
        <v>322</v>
      </c>
      <c r="CD23" s="218"/>
      <c r="CE23" s="141" t="s">
        <v>43</v>
      </c>
      <c r="CF23" s="216">
        <f>COS(CH21*PI()/180)</f>
        <v>0.92848582688091352</v>
      </c>
      <c r="CG23" s="216"/>
      <c r="CN23" s="5"/>
      <c r="CZ23" s="62"/>
      <c r="DA23" s="86"/>
      <c r="DB23" s="62"/>
    </row>
    <row r="24" spans="4:106">
      <c r="F24" s="14" t="s">
        <v>2</v>
      </c>
      <c r="G24" s="262">
        <f>SIN((L23+O23)*PI()/180)</f>
        <v>2.6758520902174832E-2</v>
      </c>
      <c r="H24" s="262"/>
      <c r="I24" s="260" t="s">
        <v>309</v>
      </c>
      <c r="J24" s="260"/>
      <c r="K24" s="19" t="s">
        <v>74</v>
      </c>
      <c r="L24" s="3"/>
      <c r="S24" s="5"/>
      <c r="AH24" s="6"/>
      <c r="BG24" s="14"/>
      <c r="BX24" s="292"/>
      <c r="BY24" s="218"/>
      <c r="BZ24" s="218"/>
      <c r="CA24" s="254"/>
      <c r="CB24" s="12">
        <v>3</v>
      </c>
      <c r="CC24" s="218"/>
      <c r="CD24" s="218"/>
      <c r="CE24" s="141"/>
      <c r="CF24" s="216"/>
      <c r="CG24" s="216"/>
      <c r="CN24" s="5"/>
      <c r="CZ24" s="62"/>
      <c r="DA24" s="86"/>
      <c r="DB24" s="62"/>
    </row>
    <row r="25" spans="4:106">
      <c r="E25" s="3"/>
      <c r="M25" s="3"/>
      <c r="N25" s="3"/>
      <c r="O25" s="3"/>
      <c r="S25" s="5"/>
      <c r="AH25" s="6"/>
      <c r="AM25" t="s">
        <v>435</v>
      </c>
      <c r="BX25" s="4" t="s">
        <v>2</v>
      </c>
      <c r="BY25" s="218" t="s">
        <v>305</v>
      </c>
      <c r="BZ25" s="218"/>
      <c r="CA25" t="s">
        <v>82</v>
      </c>
      <c r="CB25" s="216">
        <f>CB23/CB24*CF23</f>
        <v>0.30949527562697116</v>
      </c>
      <c r="CC25" s="216"/>
      <c r="CD25" s="216"/>
      <c r="CE25" s="218" t="s">
        <v>322</v>
      </c>
      <c r="CF25" s="218"/>
      <c r="CN25" s="5"/>
      <c r="CZ25" s="62"/>
      <c r="DA25" s="86"/>
      <c r="DB25" s="62"/>
    </row>
    <row r="26" spans="4:106">
      <c r="D26" t="s">
        <v>316</v>
      </c>
      <c r="S26" s="5"/>
      <c r="AH26" s="6"/>
      <c r="AM26" s="260" t="s">
        <v>325</v>
      </c>
      <c r="AN26" s="260"/>
      <c r="AO26" s="292" t="s">
        <v>2</v>
      </c>
      <c r="AP26" s="18" t="s">
        <v>41</v>
      </c>
      <c r="AQ26" s="293" t="s">
        <v>181</v>
      </c>
      <c r="AR26" s="293"/>
      <c r="AS26" s="18" t="s">
        <v>49</v>
      </c>
      <c r="AT26" s="293" t="s">
        <v>321</v>
      </c>
      <c r="AU26" s="293"/>
      <c r="AV26" s="18" t="s">
        <v>42</v>
      </c>
      <c r="AW26" s="18" t="s">
        <v>43</v>
      </c>
      <c r="AX26" s="67" t="s">
        <v>322</v>
      </c>
      <c r="CN26" s="5"/>
      <c r="CZ26" s="62"/>
      <c r="DA26" s="86"/>
      <c r="DB26" s="62"/>
    </row>
    <row r="27" spans="4:106">
      <c r="D27" s="259" t="s">
        <v>317</v>
      </c>
      <c r="E27" s="259"/>
      <c r="F27" s="14" t="s">
        <v>2</v>
      </c>
      <c r="G27" s="20" t="s">
        <v>305</v>
      </c>
      <c r="H27" s="13" t="s">
        <v>90</v>
      </c>
      <c r="I27" s="19">
        <v>3</v>
      </c>
      <c r="S27" s="7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8"/>
      <c r="AM27" s="260"/>
      <c r="AN27" s="260"/>
      <c r="AO27" s="292"/>
      <c r="AP27" s="43"/>
      <c r="AT27" s="48">
        <v>2</v>
      </c>
      <c r="CN27" s="7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87"/>
      <c r="DA27" s="88"/>
      <c r="DB27" s="62"/>
    </row>
    <row r="28" spans="4:106">
      <c r="D28" s="259" t="s">
        <v>318</v>
      </c>
      <c r="E28" s="259"/>
      <c r="F28" s="14" t="s">
        <v>2</v>
      </c>
      <c r="G28" s="31" t="s">
        <v>36</v>
      </c>
      <c r="H28" t="s">
        <v>49</v>
      </c>
      <c r="I28" s="259" t="s">
        <v>317</v>
      </c>
      <c r="J28" s="259"/>
      <c r="K28" s="1" t="s">
        <v>43</v>
      </c>
      <c r="L28" s="267" t="s">
        <v>233</v>
      </c>
      <c r="M28" s="267"/>
      <c r="N28" s="14" t="s">
        <v>2</v>
      </c>
      <c r="O28" s="262">
        <f>'1.設計条件'!T7</f>
        <v>1.1000000000000001</v>
      </c>
      <c r="P28" s="262"/>
      <c r="Q28" t="s">
        <v>49</v>
      </c>
      <c r="R28" s="259" t="s">
        <v>317</v>
      </c>
      <c r="S28" s="259"/>
      <c r="T28" s="1" t="s">
        <v>43</v>
      </c>
      <c r="U28" s="263">
        <f>'1.設計条件'!T13</f>
        <v>0.4</v>
      </c>
      <c r="V28" s="263"/>
      <c r="AO28" s="292" t="s">
        <v>2</v>
      </c>
      <c r="AP28" s="18" t="s">
        <v>41</v>
      </c>
      <c r="AQ28" s="295">
        <f>AZ9</f>
        <v>4.9889171672197064</v>
      </c>
      <c r="AR28" s="296"/>
      <c r="AS28" s="18" t="s">
        <v>49</v>
      </c>
      <c r="AT28" s="295">
        <f>AP23</f>
        <v>4.9889171672197064</v>
      </c>
      <c r="AU28" s="296"/>
      <c r="AV28" s="10" t="s">
        <v>82</v>
      </c>
      <c r="AW28" s="258">
        <f>AS23</f>
        <v>1.2655992629838291</v>
      </c>
      <c r="AX28" s="258"/>
      <c r="AY28" s="67" t="s">
        <v>322</v>
      </c>
      <c r="AZ28" s="18" t="s">
        <v>42</v>
      </c>
      <c r="BA28" s="18" t="s">
        <v>43</v>
      </c>
      <c r="BB28" s="67" t="s">
        <v>322</v>
      </c>
    </row>
    <row r="29" spans="4:106">
      <c r="AO29" s="292"/>
      <c r="AP29" s="43"/>
      <c r="AT29" s="48">
        <v>2</v>
      </c>
      <c r="AW29" s="33"/>
      <c r="AX29" s="33"/>
      <c r="AY29" s="1"/>
      <c r="BZ29" s="134" t="s">
        <v>239</v>
      </c>
      <c r="CA29" s="135"/>
      <c r="CB29" s="136"/>
      <c r="CC29" s="134"/>
      <c r="CD29" s="135"/>
      <c r="CE29" s="136"/>
      <c r="CF29" s="380"/>
      <c r="CG29" s="381"/>
      <c r="CH29" s="381"/>
      <c r="CI29" s="383" t="s">
        <v>337</v>
      </c>
      <c r="CJ29" s="384"/>
      <c r="CK29" s="385"/>
      <c r="CL29" s="380"/>
      <c r="CM29" s="381"/>
      <c r="CN29" s="382"/>
      <c r="CO29" s="380" t="s">
        <v>319</v>
      </c>
      <c r="CP29" s="381"/>
      <c r="CQ29" s="381"/>
      <c r="CR29" s="380" t="s">
        <v>320</v>
      </c>
      <c r="CS29" s="381"/>
      <c r="CT29" s="382"/>
      <c r="CU29" s="134" t="s">
        <v>316</v>
      </c>
      <c r="CV29" s="135"/>
      <c r="CW29" s="135"/>
      <c r="CX29" s="135"/>
      <c r="CY29" s="135"/>
      <c r="CZ29" s="136"/>
    </row>
    <row r="30" spans="4:106">
      <c r="G30" s="134" t="s">
        <v>239</v>
      </c>
      <c r="H30" s="135"/>
      <c r="I30" s="136"/>
      <c r="J30" s="134" t="s">
        <v>311</v>
      </c>
      <c r="K30" s="135"/>
      <c r="L30" s="136"/>
      <c r="M30" s="134" t="s">
        <v>313</v>
      </c>
      <c r="N30" s="135"/>
      <c r="O30" s="136"/>
      <c r="P30" s="380" t="s">
        <v>319</v>
      </c>
      <c r="Q30" s="381"/>
      <c r="R30" s="381"/>
      <c r="S30" s="380" t="s">
        <v>320</v>
      </c>
      <c r="T30" s="381"/>
      <c r="U30" s="382"/>
      <c r="V30" s="134" t="s">
        <v>316</v>
      </c>
      <c r="W30" s="135"/>
      <c r="X30" s="135"/>
      <c r="Y30" s="135"/>
      <c r="Z30" s="135"/>
      <c r="AA30" s="136"/>
      <c r="AO30" s="4" t="s">
        <v>2</v>
      </c>
      <c r="AP30" s="216">
        <f>(AQ28+AT28)/AT29</f>
        <v>4.9889171672197064</v>
      </c>
      <c r="AQ30" s="216"/>
      <c r="AR30" s="2" t="s">
        <v>322</v>
      </c>
      <c r="AS30" t="s">
        <v>82</v>
      </c>
      <c r="AT30" s="216">
        <f>AW28/AT29</f>
        <v>0.63279963149191454</v>
      </c>
      <c r="AU30" s="216"/>
      <c r="AV30" s="2" t="s">
        <v>322</v>
      </c>
      <c r="AW30" t="s">
        <v>303</v>
      </c>
      <c r="BZ30" s="224" t="s">
        <v>305</v>
      </c>
      <c r="CA30" s="218"/>
      <c r="CB30" s="225"/>
      <c r="CC30" s="224" t="s">
        <v>323</v>
      </c>
      <c r="CD30" s="218"/>
      <c r="CE30" s="225"/>
      <c r="CF30" s="372" t="s">
        <v>324</v>
      </c>
      <c r="CG30" s="259"/>
      <c r="CH30" s="373"/>
      <c r="CI30" s="5"/>
      <c r="CJ30" t="s">
        <v>334</v>
      </c>
      <c r="CK30" s="6"/>
      <c r="CL30" s="372" t="s">
        <v>326</v>
      </c>
      <c r="CM30" s="259"/>
      <c r="CN30" s="373"/>
      <c r="CO30" s="372" t="s">
        <v>327</v>
      </c>
      <c r="CP30" s="259"/>
      <c r="CQ30" s="373"/>
      <c r="CR30" s="372" t="s">
        <v>328</v>
      </c>
      <c r="CS30" s="259"/>
      <c r="CT30" s="373"/>
      <c r="CU30" s="374" t="s">
        <v>329</v>
      </c>
      <c r="CV30" s="375"/>
      <c r="CW30" s="376"/>
      <c r="CX30" s="374" t="s">
        <v>330</v>
      </c>
      <c r="CY30" s="375"/>
      <c r="CZ30" s="376"/>
    </row>
    <row r="31" spans="4:106">
      <c r="G31" s="224" t="s">
        <v>305</v>
      </c>
      <c r="H31" s="218"/>
      <c r="I31" s="225"/>
      <c r="J31" s="224" t="s">
        <v>304</v>
      </c>
      <c r="K31" s="218"/>
      <c r="L31" s="225"/>
      <c r="M31" s="224" t="s">
        <v>309</v>
      </c>
      <c r="N31" s="218"/>
      <c r="O31" s="225"/>
      <c r="P31" s="372" t="s">
        <v>447</v>
      </c>
      <c r="Q31" s="259"/>
      <c r="R31" s="373"/>
      <c r="S31" s="372" t="s">
        <v>446</v>
      </c>
      <c r="T31" s="259"/>
      <c r="U31" s="373"/>
      <c r="V31" s="374" t="s">
        <v>318</v>
      </c>
      <c r="W31" s="375"/>
      <c r="X31" s="376"/>
      <c r="Y31" s="374" t="s">
        <v>317</v>
      </c>
      <c r="Z31" s="375"/>
      <c r="AA31" s="376"/>
      <c r="BW31" s="10"/>
      <c r="BX31" s="10"/>
      <c r="BY31" s="10"/>
      <c r="BZ31" s="221" t="s">
        <v>274</v>
      </c>
      <c r="CA31" s="222"/>
      <c r="CB31" s="223"/>
      <c r="CC31" s="221" t="s">
        <v>274</v>
      </c>
      <c r="CD31" s="222"/>
      <c r="CE31" s="223"/>
      <c r="CF31" s="221" t="s">
        <v>274</v>
      </c>
      <c r="CG31" s="222"/>
      <c r="CH31" s="223"/>
      <c r="CI31" s="377" t="s">
        <v>338</v>
      </c>
      <c r="CJ31" s="378"/>
      <c r="CK31" s="379"/>
      <c r="CL31" s="221" t="s">
        <v>101</v>
      </c>
      <c r="CM31" s="222"/>
      <c r="CN31" s="223"/>
      <c r="CO31" s="221" t="s">
        <v>101</v>
      </c>
      <c r="CP31" s="222"/>
      <c r="CQ31" s="223"/>
      <c r="CR31" s="221" t="s">
        <v>101</v>
      </c>
      <c r="CS31" s="222"/>
      <c r="CT31" s="223"/>
      <c r="CU31" s="221" t="s">
        <v>274</v>
      </c>
      <c r="CV31" s="222"/>
      <c r="CW31" s="223"/>
      <c r="CX31" s="221" t="s">
        <v>274</v>
      </c>
      <c r="CY31" s="222"/>
      <c r="CZ31" s="223"/>
    </row>
    <row r="32" spans="4:106">
      <c r="D32" s="10"/>
      <c r="E32" s="10"/>
      <c r="F32" s="10"/>
      <c r="G32" s="221" t="s">
        <v>274</v>
      </c>
      <c r="H32" s="222"/>
      <c r="I32" s="223"/>
      <c r="J32" s="221" t="s">
        <v>312</v>
      </c>
      <c r="K32" s="222"/>
      <c r="L32" s="223"/>
      <c r="M32" s="221" t="s">
        <v>101</v>
      </c>
      <c r="N32" s="222"/>
      <c r="O32" s="223"/>
      <c r="P32" s="221" t="s">
        <v>101</v>
      </c>
      <c r="Q32" s="222"/>
      <c r="R32" s="223"/>
      <c r="S32" s="221" t="s">
        <v>101</v>
      </c>
      <c r="T32" s="222"/>
      <c r="U32" s="223"/>
      <c r="V32" s="221" t="s">
        <v>274</v>
      </c>
      <c r="W32" s="222"/>
      <c r="X32" s="223"/>
      <c r="Y32" s="221" t="s">
        <v>274</v>
      </c>
      <c r="Z32" s="222"/>
      <c r="AA32" s="223"/>
      <c r="AM32" t="s">
        <v>331</v>
      </c>
      <c r="BW32" s="71">
        <f>'2.自重'!BW29</f>
        <v>6</v>
      </c>
      <c r="BX32" s="300" t="str">
        <f>'2.自重'!BX29</f>
        <v>段目</v>
      </c>
      <c r="BY32" s="301"/>
      <c r="BZ32" s="276">
        <f t="shared" ref="BZ32:BZ37" si="0">G33</f>
        <v>0.79999999999999982</v>
      </c>
      <c r="CA32" s="141"/>
      <c r="CB32" s="283"/>
      <c r="CC32" s="276">
        <f t="shared" ref="CC32:CC37" si="1">IF(BW32&lt;&gt;"",IF(G33&lt;AP$10/BA$13, G33, AP$10/BA$13),"")</f>
        <v>0.79999999999999982</v>
      </c>
      <c r="CD32" s="141"/>
      <c r="CE32" s="283"/>
      <c r="CF32" s="276">
        <f t="shared" ref="CF32:CF37" si="2">IF(BW32&lt;&gt;"",IF(CC32*BA$13&lt;AP$10,CC32*BA$13, AP$10),"")</f>
        <v>0.86161789102097608</v>
      </c>
      <c r="CG32" s="141"/>
      <c r="CH32" s="141"/>
      <c r="CI32" s="370" t="str">
        <f t="shared" ref="CI32:CI37" si="3">IF(CF32="","",IF(CF32&lt;AP$10,"zi'&lt;ℓ₂","zi'=ℓ₂"))</f>
        <v>zi'&lt;ℓ₂</v>
      </c>
      <c r="CJ32" s="254"/>
      <c r="CK32" s="371"/>
      <c r="CL32" s="216">
        <f t="shared" ref="CL32:CL37" si="4">IF(BW32&lt;&gt;"",AP$30*CF32-AT$30*CF32^2,"")</f>
        <v>3.8287590868005634</v>
      </c>
      <c r="CM32" s="141"/>
      <c r="CN32" s="283"/>
      <c r="CO32" s="276">
        <f t="shared" ref="CO32:CO37" si="5">IF(BW32&lt;&gt;"",CL32*BG$36,"")</f>
        <v>-1.4218779749084189</v>
      </c>
      <c r="CP32" s="141"/>
      <c r="CQ32" s="283"/>
      <c r="CR32" s="276">
        <f t="shared" ref="CR32:CR37" si="6">IF(BW32&lt;&gt;"",CL32*BG$33,"")</f>
        <v>3.5549485466358326</v>
      </c>
      <c r="CS32" s="141"/>
      <c r="CT32" s="283"/>
      <c r="CU32" s="276">
        <f t="shared" ref="CU32:CU37" si="7">IF(BW32&lt;&gt;"",BY$5+CX32*CE$5,"")</f>
        <v>1.2665438949890881</v>
      </c>
      <c r="CV32" s="141"/>
      <c r="CW32" s="141"/>
      <c r="CX32" s="276">
        <f t="shared" ref="CX32:CX37" si="8">IF(BW32&lt;&gt;"",IF(CF32&lt;AP$10,(BY$15-CC$15*CF32)/(BY$16-CC$16*CF32)*CF32,BZ32-CB$25*CF32),"")</f>
        <v>0.4163597374727202</v>
      </c>
      <c r="CY32" s="141"/>
      <c r="CZ32" s="283"/>
    </row>
    <row r="33" spans="4:105">
      <c r="D33" s="71">
        <f>'2.自重'!BW29</f>
        <v>6</v>
      </c>
      <c r="E33" s="300" t="str">
        <f>'2.自重'!BX29</f>
        <v>段目</v>
      </c>
      <c r="F33" s="301"/>
      <c r="G33" s="276">
        <f>IF(D33&lt;&gt;"",G$38-'1.設計条件'!BG$5*(D33-D$38),"")</f>
        <v>0.79999999999999982</v>
      </c>
      <c r="H33" s="141"/>
      <c r="I33" s="283"/>
      <c r="J33" s="276">
        <f t="shared" ref="J33:J38" si="9">IF(D33&lt;&gt;"",G33*AA$12,"")</f>
        <v>1.7732373500869787</v>
      </c>
      <c r="K33" s="216"/>
      <c r="L33" s="277"/>
      <c r="M33" s="276">
        <f t="shared" ref="M33:M38" si="10">IFERROR(G33*J33/2,"")</f>
        <v>0.70929494003479132</v>
      </c>
      <c r="N33" s="216"/>
      <c r="O33" s="277"/>
      <c r="P33" s="276">
        <f t="shared" ref="P33:P38" si="11">IF(D33&lt;&gt;"",M33*G$24,"")</f>
        <v>1.8979683478727808E-2</v>
      </c>
      <c r="Q33" s="141"/>
      <c r="R33" s="283"/>
      <c r="S33" s="276">
        <f t="shared" ref="S33:S38" si="12">IF(D33&lt;&gt;"",M33*G$20,"")</f>
        <v>0.70904096043458975</v>
      </c>
      <c r="T33" s="141"/>
      <c r="U33" s="283"/>
      <c r="V33" s="276">
        <f t="shared" ref="V33:V38" si="13">IF(D33&lt;&gt;"",O$28+Y33*U$28,"")</f>
        <v>1.2066666666666668</v>
      </c>
      <c r="W33" s="141"/>
      <c r="X33" s="283"/>
      <c r="Y33" s="276">
        <f t="shared" ref="Y33:Y38" si="14">IF(D33&lt;&gt;"",G33/I$27,"")</f>
        <v>0.26666666666666661</v>
      </c>
      <c r="Z33" s="141"/>
      <c r="AA33" s="283"/>
      <c r="AM33" s="259" t="s">
        <v>328</v>
      </c>
      <c r="AN33" s="259"/>
      <c r="AO33" s="14" t="s">
        <v>2</v>
      </c>
      <c r="AP33" s="260" t="s">
        <v>325</v>
      </c>
      <c r="AQ33" s="260"/>
      <c r="AR33" s="141" t="s">
        <v>175</v>
      </c>
      <c r="AS33" s="141"/>
      <c r="AT33" s="47" t="s">
        <v>426</v>
      </c>
      <c r="AV33" s="14" t="s">
        <v>2</v>
      </c>
      <c r="AW33" s="260" t="s">
        <v>325</v>
      </c>
      <c r="AX33" s="260"/>
      <c r="AY33" s="268" t="s">
        <v>332</v>
      </c>
      <c r="AZ33" s="268"/>
      <c r="BA33" s="268"/>
      <c r="BB33" s="263">
        <f>AZ10</f>
        <v>21.8</v>
      </c>
      <c r="BC33" s="263"/>
      <c r="BF33" s="14" t="s">
        <v>2</v>
      </c>
      <c r="BG33" s="262">
        <f>COS((BB33)*PI()/180)</f>
        <v>0.92848582688091352</v>
      </c>
      <c r="BH33" s="262"/>
      <c r="BI33" s="260" t="s">
        <v>325</v>
      </c>
      <c r="BJ33" s="260"/>
      <c r="BW33" s="71">
        <f>'2.自重'!BW30</f>
        <v>5</v>
      </c>
      <c r="BX33" s="300" t="str">
        <f>'2.自重'!BX30</f>
        <v>段目</v>
      </c>
      <c r="BY33" s="301"/>
      <c r="BZ33" s="276">
        <f t="shared" si="0"/>
        <v>1.7999999999999998</v>
      </c>
      <c r="CA33" s="141"/>
      <c r="CB33" s="283"/>
      <c r="CC33" s="276">
        <f t="shared" si="1"/>
        <v>1.7999999999999998</v>
      </c>
      <c r="CD33" s="141"/>
      <c r="CE33" s="283"/>
      <c r="CF33" s="276">
        <f t="shared" si="2"/>
        <v>1.9386402547971966</v>
      </c>
      <c r="CG33" s="141"/>
      <c r="CH33" s="141"/>
      <c r="CI33" s="370" t="str">
        <f t="shared" si="3"/>
        <v>zi'&lt;ℓ₂</v>
      </c>
      <c r="CJ33" s="254"/>
      <c r="CK33" s="371"/>
      <c r="CL33" s="216">
        <f t="shared" si="4"/>
        <v>7.2934483166517081</v>
      </c>
      <c r="CM33" s="141"/>
      <c r="CN33" s="283"/>
      <c r="CO33" s="276">
        <f t="shared" si="5"/>
        <v>-2.7085521150524485</v>
      </c>
      <c r="CP33" s="141"/>
      <c r="CQ33" s="283"/>
      <c r="CR33" s="276">
        <f t="shared" si="6"/>
        <v>6.7718633910995676</v>
      </c>
      <c r="CS33" s="141"/>
      <c r="CT33" s="283"/>
      <c r="CU33" s="276">
        <f t="shared" si="7"/>
        <v>1.4991299242001519</v>
      </c>
      <c r="CV33" s="141"/>
      <c r="CW33" s="141"/>
      <c r="CX33" s="276">
        <f t="shared" si="8"/>
        <v>0.99782481050037919</v>
      </c>
      <c r="CY33" s="216"/>
      <c r="CZ33" s="277"/>
    </row>
    <row r="34" spans="4:105" ht="18" customHeight="1">
      <c r="D34" s="71">
        <f>'2.自重'!BW30</f>
        <v>5</v>
      </c>
      <c r="E34" s="300" t="str">
        <f>'2.自重'!BX30</f>
        <v>段目</v>
      </c>
      <c r="F34" s="301"/>
      <c r="G34" s="276">
        <f>IF(D34&lt;&gt;"",G$38-'1.設計条件'!BG$5*(D34-D$38),"")</f>
        <v>1.7999999999999998</v>
      </c>
      <c r="H34" s="141"/>
      <c r="I34" s="283"/>
      <c r="J34" s="276">
        <f t="shared" si="9"/>
        <v>3.9897840376957028</v>
      </c>
      <c r="K34" s="216"/>
      <c r="L34" s="277"/>
      <c r="M34" s="276">
        <f t="shared" si="10"/>
        <v>3.5908056339261321</v>
      </c>
      <c r="N34" s="216"/>
      <c r="O34" s="277"/>
      <c r="P34" s="276">
        <f t="shared" si="11"/>
        <v>9.6084647611059559E-2</v>
      </c>
      <c r="Q34" s="141"/>
      <c r="R34" s="283"/>
      <c r="S34" s="276">
        <f t="shared" si="12"/>
        <v>3.5895198622001119</v>
      </c>
      <c r="T34" s="141"/>
      <c r="U34" s="283"/>
      <c r="V34" s="276">
        <f t="shared" si="13"/>
        <v>1.34</v>
      </c>
      <c r="W34" s="141"/>
      <c r="X34" s="283"/>
      <c r="Y34" s="276">
        <f t="shared" si="14"/>
        <v>0.6</v>
      </c>
      <c r="Z34" s="141"/>
      <c r="AA34" s="283"/>
      <c r="BW34" s="71">
        <f>'2.自重'!BW31</f>
        <v>4</v>
      </c>
      <c r="BX34" s="300" t="str">
        <f>'2.自重'!BX31</f>
        <v>段目</v>
      </c>
      <c r="BY34" s="301"/>
      <c r="BZ34" s="276">
        <f t="shared" si="0"/>
        <v>2.8</v>
      </c>
      <c r="CA34" s="216"/>
      <c r="CB34" s="277"/>
      <c r="CC34" s="276">
        <f t="shared" si="1"/>
        <v>2.8</v>
      </c>
      <c r="CD34" s="141"/>
      <c r="CE34" s="283"/>
      <c r="CF34" s="276">
        <f t="shared" si="2"/>
        <v>3.0156626185734168</v>
      </c>
      <c r="CG34" s="141"/>
      <c r="CH34" s="141"/>
      <c r="CI34" s="370" t="str">
        <f t="shared" si="3"/>
        <v>zi'&lt;ℓ₂</v>
      </c>
      <c r="CJ34" s="254"/>
      <c r="CK34" s="371"/>
      <c r="CL34" s="216">
        <f t="shared" si="4"/>
        <v>9.2900712924477844</v>
      </c>
      <c r="CM34" s="141"/>
      <c r="CN34" s="283"/>
      <c r="CO34" s="276">
        <f t="shared" si="5"/>
        <v>-3.4500336679837065</v>
      </c>
      <c r="CP34" s="141"/>
      <c r="CQ34" s="283"/>
      <c r="CR34" s="276">
        <f t="shared" si="6"/>
        <v>8.6256995257510187</v>
      </c>
      <c r="CS34" s="141"/>
      <c r="CT34" s="283"/>
      <c r="CU34" s="276">
        <f t="shared" si="7"/>
        <v>1.7756323756640251</v>
      </c>
      <c r="CV34" s="141"/>
      <c r="CW34" s="141"/>
      <c r="CX34" s="276">
        <f t="shared" si="8"/>
        <v>1.6890809391600623</v>
      </c>
      <c r="CY34" s="216"/>
      <c r="CZ34" s="277"/>
    </row>
    <row r="35" spans="4:105" ht="18" customHeight="1">
      <c r="D35" s="71">
        <f>'2.自重'!BW31</f>
        <v>4</v>
      </c>
      <c r="E35" s="300" t="str">
        <f>'2.自重'!BX31</f>
        <v>段目</v>
      </c>
      <c r="F35" s="301"/>
      <c r="G35" s="276">
        <f>IF(D35&lt;&gt;"",G$38-'1.設計条件'!BG$5*(D35-D$38),"")</f>
        <v>2.8</v>
      </c>
      <c r="H35" s="141"/>
      <c r="I35" s="283"/>
      <c r="J35" s="276">
        <f t="shared" si="9"/>
        <v>6.2063307253044266</v>
      </c>
      <c r="K35" s="216"/>
      <c r="L35" s="277"/>
      <c r="M35" s="276">
        <f t="shared" si="10"/>
        <v>8.6888630154261968</v>
      </c>
      <c r="N35" s="216"/>
      <c r="O35" s="277"/>
      <c r="P35" s="276">
        <f t="shared" si="11"/>
        <v>0.23250112261441572</v>
      </c>
      <c r="Q35" s="141"/>
      <c r="R35" s="283"/>
      <c r="S35" s="276">
        <f t="shared" si="12"/>
        <v>8.6857517653237277</v>
      </c>
      <c r="T35" s="141"/>
      <c r="U35" s="283"/>
      <c r="V35" s="276">
        <f t="shared" si="13"/>
        <v>1.4733333333333334</v>
      </c>
      <c r="W35" s="141"/>
      <c r="X35" s="283"/>
      <c r="Y35" s="276">
        <f t="shared" si="14"/>
        <v>0.93333333333333324</v>
      </c>
      <c r="Z35" s="141"/>
      <c r="AA35" s="283"/>
      <c r="AM35" s="13" t="s">
        <v>75</v>
      </c>
      <c r="BW35" s="71">
        <f>'2.自重'!BW32</f>
        <v>3</v>
      </c>
      <c r="BX35" s="300" t="str">
        <f>'2.自重'!BX32</f>
        <v>段目</v>
      </c>
      <c r="BY35" s="301"/>
      <c r="BZ35" s="276">
        <f t="shared" si="0"/>
        <v>3.8</v>
      </c>
      <c r="CA35" s="216"/>
      <c r="CB35" s="277"/>
      <c r="CC35" s="276">
        <f t="shared" si="1"/>
        <v>3.6600360135525452</v>
      </c>
      <c r="CD35" s="141"/>
      <c r="CE35" s="283"/>
      <c r="CF35" s="276">
        <f t="shared" si="2"/>
        <v>3.9419406388224569</v>
      </c>
      <c r="CG35" s="141"/>
      <c r="CH35" s="141"/>
      <c r="CI35" s="370" t="str">
        <f t="shared" si="3"/>
        <v>zi'=ℓ₂</v>
      </c>
      <c r="CJ35" s="254"/>
      <c r="CK35" s="371"/>
      <c r="CL35" s="216">
        <f t="shared" si="4"/>
        <v>9.8330076625911875</v>
      </c>
      <c r="CM35" s="141"/>
      <c r="CN35" s="283"/>
      <c r="CO35" s="276">
        <f t="shared" si="5"/>
        <v>-3.6516627726053632</v>
      </c>
      <c r="CP35" s="141"/>
      <c r="CQ35" s="283"/>
      <c r="CR35" s="276">
        <f t="shared" si="6"/>
        <v>9.1298082503273381</v>
      </c>
      <c r="CS35" s="141"/>
      <c r="CT35" s="283"/>
      <c r="CU35" s="276">
        <f t="shared" si="7"/>
        <v>2.1319951981929943</v>
      </c>
      <c r="CV35" s="141"/>
      <c r="CW35" s="141"/>
      <c r="CX35" s="276">
        <f t="shared" si="8"/>
        <v>2.5799879954824849</v>
      </c>
      <c r="CY35" s="216"/>
      <c r="CZ35" s="277"/>
    </row>
    <row r="36" spans="4:105" ht="18" customHeight="1">
      <c r="D36" s="71">
        <f>'2.自重'!BW32</f>
        <v>3</v>
      </c>
      <c r="E36" s="300" t="str">
        <f>'2.自重'!BX32</f>
        <v>段目</v>
      </c>
      <c r="F36" s="301"/>
      <c r="G36" s="276">
        <f>IF(D36&lt;&gt;"",G$38-'1.設計条件'!BG$5*(D36-D$38),"")</f>
        <v>3.8</v>
      </c>
      <c r="H36" s="141"/>
      <c r="I36" s="283"/>
      <c r="J36" s="276">
        <f t="shared" si="9"/>
        <v>8.4228774129131505</v>
      </c>
      <c r="K36" s="216"/>
      <c r="L36" s="277"/>
      <c r="M36" s="276">
        <f t="shared" si="10"/>
        <v>16.003467084534986</v>
      </c>
      <c r="N36" s="216"/>
      <c r="O36" s="277"/>
      <c r="P36" s="276">
        <f t="shared" si="11"/>
        <v>0.42822910848879636</v>
      </c>
      <c r="Q36" s="141"/>
      <c r="R36" s="283"/>
      <c r="S36" s="276">
        <f t="shared" si="12"/>
        <v>15.997736669805439</v>
      </c>
      <c r="T36" s="141"/>
      <c r="U36" s="283"/>
      <c r="V36" s="276">
        <f t="shared" si="13"/>
        <v>1.6066666666666669</v>
      </c>
      <c r="W36" s="141"/>
      <c r="X36" s="283"/>
      <c r="Y36" s="276">
        <f t="shared" si="14"/>
        <v>1.2666666666666666</v>
      </c>
      <c r="Z36" s="141"/>
      <c r="AA36" s="283"/>
      <c r="AM36" s="259" t="s">
        <v>327</v>
      </c>
      <c r="AN36" s="259"/>
      <c r="AO36" s="14" t="s">
        <v>2</v>
      </c>
      <c r="AP36" s="369" t="s">
        <v>448</v>
      </c>
      <c r="AQ36" s="260"/>
      <c r="AR36" s="141" t="s">
        <v>167</v>
      </c>
      <c r="AS36" s="141"/>
      <c r="AT36" s="47" t="s">
        <v>426</v>
      </c>
      <c r="AV36" s="14" t="s">
        <v>2</v>
      </c>
      <c r="AW36" s="369" t="s">
        <v>448</v>
      </c>
      <c r="AX36" s="260"/>
      <c r="AY36" s="268" t="s">
        <v>333</v>
      </c>
      <c r="AZ36" s="268"/>
      <c r="BA36" s="268"/>
      <c r="BB36" s="263">
        <f>BB33</f>
        <v>21.8</v>
      </c>
      <c r="BC36" s="263"/>
      <c r="BF36" s="14" t="s">
        <v>2</v>
      </c>
      <c r="BG36" s="262">
        <f>-SIN((BB36)*PI()/180)</f>
        <v>-0.37136783555023484</v>
      </c>
      <c r="BH36" s="262"/>
      <c r="BI36" s="260" t="s">
        <v>325</v>
      </c>
      <c r="BJ36" s="260"/>
      <c r="BW36" s="71">
        <f>'2.自重'!BW33</f>
        <v>2</v>
      </c>
      <c r="BX36" s="300" t="str">
        <f>'2.自重'!BX33</f>
        <v>段目</v>
      </c>
      <c r="BY36" s="301"/>
      <c r="BZ36" s="276">
        <f t="shared" si="0"/>
        <v>4.8</v>
      </c>
      <c r="CA36" s="216"/>
      <c r="CB36" s="277"/>
      <c r="CC36" s="276">
        <f t="shared" si="1"/>
        <v>3.6600360135525452</v>
      </c>
      <c r="CD36" s="141"/>
      <c r="CE36" s="283"/>
      <c r="CF36" s="276">
        <f t="shared" si="2"/>
        <v>3.9419406388224569</v>
      </c>
      <c r="CG36" s="141"/>
      <c r="CH36" s="141"/>
      <c r="CI36" s="370" t="str">
        <f t="shared" si="3"/>
        <v>zi'=ℓ₂</v>
      </c>
      <c r="CJ36" s="254"/>
      <c r="CK36" s="371"/>
      <c r="CL36" s="216">
        <f t="shared" si="4"/>
        <v>9.8330076625911875</v>
      </c>
      <c r="CM36" s="141"/>
      <c r="CN36" s="283"/>
      <c r="CO36" s="276">
        <f t="shared" si="5"/>
        <v>-3.6516627726053632</v>
      </c>
      <c r="CP36" s="141"/>
      <c r="CQ36" s="283"/>
      <c r="CR36" s="276">
        <f t="shared" si="6"/>
        <v>9.1298082503273381</v>
      </c>
      <c r="CS36" s="141"/>
      <c r="CT36" s="283"/>
      <c r="CU36" s="276">
        <f t="shared" si="7"/>
        <v>2.5319951981929942</v>
      </c>
      <c r="CV36" s="141"/>
      <c r="CW36" s="141"/>
      <c r="CX36" s="276">
        <f t="shared" si="8"/>
        <v>3.5799879954824849</v>
      </c>
      <c r="CY36" s="216"/>
      <c r="CZ36" s="277"/>
    </row>
    <row r="37" spans="4:105" ht="18" customHeight="1">
      <c r="D37" s="71">
        <f>'2.自重'!BW33</f>
        <v>2</v>
      </c>
      <c r="E37" s="300" t="str">
        <f>'2.自重'!BX33</f>
        <v>段目</v>
      </c>
      <c r="F37" s="301"/>
      <c r="G37" s="276">
        <f>IF(D37&lt;&gt;"",G$38-'1.設計条件'!BG$5*(D37-D$38),"")</f>
        <v>4.8</v>
      </c>
      <c r="H37" s="141"/>
      <c r="I37" s="283"/>
      <c r="J37" s="276">
        <f t="shared" si="9"/>
        <v>10.639424100521873</v>
      </c>
      <c r="K37" s="216"/>
      <c r="L37" s="277"/>
      <c r="M37" s="276">
        <f t="shared" si="10"/>
        <v>25.534617841252494</v>
      </c>
      <c r="N37" s="216"/>
      <c r="O37" s="277"/>
      <c r="P37" s="276">
        <f t="shared" si="11"/>
        <v>0.6832686052342013</v>
      </c>
      <c r="Q37" s="141"/>
      <c r="R37" s="283"/>
      <c r="S37" s="276">
        <f t="shared" si="12"/>
        <v>25.525474575645241</v>
      </c>
      <c r="T37" s="141"/>
      <c r="U37" s="283"/>
      <c r="V37" s="276">
        <f t="shared" si="13"/>
        <v>1.7400000000000002</v>
      </c>
      <c r="W37" s="141"/>
      <c r="X37" s="283"/>
      <c r="Y37" s="276">
        <f t="shared" si="14"/>
        <v>1.5999999999999999</v>
      </c>
      <c r="Z37" s="141"/>
      <c r="AA37" s="283"/>
      <c r="BW37" s="76">
        <f>'2.自重'!BW34</f>
        <v>1</v>
      </c>
      <c r="BX37" s="312" t="str">
        <f>'2.自重'!BX34</f>
        <v>段目</v>
      </c>
      <c r="BY37" s="313"/>
      <c r="BZ37" s="278">
        <f t="shared" si="0"/>
        <v>5.8</v>
      </c>
      <c r="CA37" s="222"/>
      <c r="CB37" s="223"/>
      <c r="CC37" s="278">
        <f t="shared" si="1"/>
        <v>3.6600360135525452</v>
      </c>
      <c r="CD37" s="222"/>
      <c r="CE37" s="223"/>
      <c r="CF37" s="278">
        <f t="shared" si="2"/>
        <v>3.9419406388224569</v>
      </c>
      <c r="CG37" s="222"/>
      <c r="CH37" s="222"/>
      <c r="CI37" s="137" t="str">
        <f t="shared" si="3"/>
        <v>zi'=ℓ₂</v>
      </c>
      <c r="CJ37" s="138"/>
      <c r="CK37" s="139"/>
      <c r="CL37" s="258">
        <f t="shared" si="4"/>
        <v>9.8330076625911875</v>
      </c>
      <c r="CM37" s="222"/>
      <c r="CN37" s="223"/>
      <c r="CO37" s="278">
        <f t="shared" si="5"/>
        <v>-3.6516627726053632</v>
      </c>
      <c r="CP37" s="222"/>
      <c r="CQ37" s="223"/>
      <c r="CR37" s="278">
        <f t="shared" si="6"/>
        <v>9.1298082503273381</v>
      </c>
      <c r="CS37" s="222"/>
      <c r="CT37" s="223"/>
      <c r="CU37" s="278">
        <f t="shared" si="7"/>
        <v>2.9319951981929941</v>
      </c>
      <c r="CV37" s="222"/>
      <c r="CW37" s="222"/>
      <c r="CX37" s="278">
        <f t="shared" si="8"/>
        <v>4.5799879954824849</v>
      </c>
      <c r="CY37" s="222"/>
      <c r="CZ37" s="223"/>
    </row>
    <row r="38" spans="4:105" ht="18" customHeight="1">
      <c r="D38" s="76">
        <f>'2.自重'!BW34</f>
        <v>1</v>
      </c>
      <c r="E38" s="312" t="str">
        <f>'2.自重'!BX34</f>
        <v>段目</v>
      </c>
      <c r="F38" s="313"/>
      <c r="G38" s="278">
        <f>'1.設計条件'!T6</f>
        <v>5.8</v>
      </c>
      <c r="H38" s="222"/>
      <c r="I38" s="223"/>
      <c r="J38" s="278">
        <f t="shared" si="9"/>
        <v>12.855970788130598</v>
      </c>
      <c r="K38" s="258"/>
      <c r="L38" s="279"/>
      <c r="M38" s="278">
        <f t="shared" si="10"/>
        <v>37.282315285578733</v>
      </c>
      <c r="N38" s="258"/>
      <c r="O38" s="279"/>
      <c r="P38" s="278">
        <f t="shared" si="11"/>
        <v>0.99761961285063072</v>
      </c>
      <c r="Q38" s="222"/>
      <c r="R38" s="223"/>
      <c r="S38" s="278">
        <f t="shared" si="12"/>
        <v>37.268965482843143</v>
      </c>
      <c r="T38" s="222"/>
      <c r="U38" s="223"/>
      <c r="V38" s="278">
        <f t="shared" si="13"/>
        <v>1.8733333333333335</v>
      </c>
      <c r="W38" s="222"/>
      <c r="X38" s="223"/>
      <c r="Y38" s="278">
        <f t="shared" si="14"/>
        <v>1.9333333333333333</v>
      </c>
      <c r="Z38" s="222"/>
      <c r="AA38" s="223"/>
      <c r="AI38">
        <f>'3.照査 (2)'!BR38+1</f>
        <v>15</v>
      </c>
      <c r="BR38">
        <f>AI38+1</f>
        <v>16</v>
      </c>
      <c r="DA38">
        <f>BR38+1</f>
        <v>17</v>
      </c>
    </row>
  </sheetData>
  <sheetProtection sheet="1" objects="1" scenarios="1"/>
  <mergeCells count="331">
    <mergeCell ref="AZ9:BB9"/>
    <mergeCell ref="AM10:AN10"/>
    <mergeCell ref="AP10:AR10"/>
    <mergeCell ref="AW10:AX10"/>
    <mergeCell ref="AZ10:BB10"/>
    <mergeCell ref="BV4:BW4"/>
    <mergeCell ref="CA4:CB4"/>
    <mergeCell ref="CD4:CE4"/>
    <mergeCell ref="AM8:AN8"/>
    <mergeCell ref="AP8:AR8"/>
    <mergeCell ref="AW8:AX8"/>
    <mergeCell ref="AZ8:BB8"/>
    <mergeCell ref="BY5:BZ5"/>
    <mergeCell ref="CB5:CC5"/>
    <mergeCell ref="CE5:CF5"/>
    <mergeCell ref="D8:E8"/>
    <mergeCell ref="G8:I8"/>
    <mergeCell ref="D9:E10"/>
    <mergeCell ref="F9:F10"/>
    <mergeCell ref="G9:H9"/>
    <mergeCell ref="J9:K9"/>
    <mergeCell ref="AM9:AN9"/>
    <mergeCell ref="AP9:AR9"/>
    <mergeCell ref="AW9:AX9"/>
    <mergeCell ref="CK9:CK10"/>
    <mergeCell ref="G10:H10"/>
    <mergeCell ref="J10:K10"/>
    <mergeCell ref="N10:O10"/>
    <mergeCell ref="Q10:R10"/>
    <mergeCell ref="AM13:AN14"/>
    <mergeCell ref="AO13:AO14"/>
    <mergeCell ref="AP13:AR13"/>
    <mergeCell ref="AT13:AT14"/>
    <mergeCell ref="AU13:AX13"/>
    <mergeCell ref="BX9:BX10"/>
    <mergeCell ref="BZ9:CA9"/>
    <mergeCell ref="CC9:CD9"/>
    <mergeCell ref="CF9:CG10"/>
    <mergeCell ref="CH9:CH10"/>
    <mergeCell ref="CI9:CJ10"/>
    <mergeCell ref="CC10:CD10"/>
    <mergeCell ref="M9:M10"/>
    <mergeCell ref="N9:O9"/>
    <mergeCell ref="Q9:S9"/>
    <mergeCell ref="U9:U10"/>
    <mergeCell ref="V9:X10"/>
    <mergeCell ref="BV9:BW10"/>
    <mergeCell ref="AZ13:AZ14"/>
    <mergeCell ref="CK11:CL12"/>
    <mergeCell ref="CM11:CN12"/>
    <mergeCell ref="CO11:CP12"/>
    <mergeCell ref="D12:E12"/>
    <mergeCell ref="G12:H12"/>
    <mergeCell ref="J12:K12"/>
    <mergeCell ref="M12:N12"/>
    <mergeCell ref="Q12:R12"/>
    <mergeCell ref="T12:U12"/>
    <mergeCell ref="W12:X12"/>
    <mergeCell ref="BX11:BX12"/>
    <mergeCell ref="CA11:CB11"/>
    <mergeCell ref="CD11:CE11"/>
    <mergeCell ref="CG11:CH11"/>
    <mergeCell ref="AA12:AC12"/>
    <mergeCell ref="AD12:AE12"/>
    <mergeCell ref="CA12:CB12"/>
    <mergeCell ref="CD12:CE12"/>
    <mergeCell ref="CG12:CH12"/>
    <mergeCell ref="AP14:AQ14"/>
    <mergeCell ref="CI13:CJ14"/>
    <mergeCell ref="BY14:CA14"/>
    <mergeCell ref="CC14:CD14"/>
    <mergeCell ref="D15:E16"/>
    <mergeCell ref="F15:F16"/>
    <mergeCell ref="G15:H15"/>
    <mergeCell ref="J15:K15"/>
    <mergeCell ref="BX15:BX16"/>
    <mergeCell ref="BY15:CA15"/>
    <mergeCell ref="CC15:CD15"/>
    <mergeCell ref="BX13:BX14"/>
    <mergeCell ref="BY13:CA13"/>
    <mergeCell ref="CC13:CD13"/>
    <mergeCell ref="CF13:CG14"/>
    <mergeCell ref="CH13:CH14"/>
    <mergeCell ref="AU14:AV14"/>
    <mergeCell ref="AW14:AX14"/>
    <mergeCell ref="BA13:BB14"/>
    <mergeCell ref="BC13:BC14"/>
    <mergeCell ref="D18:E18"/>
    <mergeCell ref="G18:H18"/>
    <mergeCell ref="I18:L18"/>
    <mergeCell ref="AO21:AO22"/>
    <mergeCell ref="AP21:AQ21"/>
    <mergeCell ref="AS21:AT21"/>
    <mergeCell ref="CF15:CG16"/>
    <mergeCell ref="AM19:AN20"/>
    <mergeCell ref="AO19:AO20"/>
    <mergeCell ref="AP19:AQ19"/>
    <mergeCell ref="AV19:AW20"/>
    <mergeCell ref="BY16:CA16"/>
    <mergeCell ref="CC16:CD16"/>
    <mergeCell ref="AQ20:AR20"/>
    <mergeCell ref="CF19:CG20"/>
    <mergeCell ref="D22:E22"/>
    <mergeCell ref="BX21:BX22"/>
    <mergeCell ref="BY21:BZ22"/>
    <mergeCell ref="CA21:CA22"/>
    <mergeCell ref="CC21:CD22"/>
    <mergeCell ref="CE21:CE22"/>
    <mergeCell ref="CF21:CG22"/>
    <mergeCell ref="CH19:CH20"/>
    <mergeCell ref="G20:H20"/>
    <mergeCell ref="I20:J20"/>
    <mergeCell ref="AP23:AQ23"/>
    <mergeCell ref="AS23:AT23"/>
    <mergeCell ref="BV19:BW20"/>
    <mergeCell ref="BX19:BX20"/>
    <mergeCell ref="BY19:BZ20"/>
    <mergeCell ref="CA19:CA20"/>
    <mergeCell ref="CC19:CD20"/>
    <mergeCell ref="CE19:CE20"/>
    <mergeCell ref="AW21:AX22"/>
    <mergeCell ref="G19:H19"/>
    <mergeCell ref="I19:K19"/>
    <mergeCell ref="L19:M19"/>
    <mergeCell ref="O19:P19"/>
    <mergeCell ref="AQ22:AR22"/>
    <mergeCell ref="AT22:AU22"/>
    <mergeCell ref="CH21:CI22"/>
    <mergeCell ref="G22:H22"/>
    <mergeCell ref="I22:L22"/>
    <mergeCell ref="G23:H23"/>
    <mergeCell ref="I23:K23"/>
    <mergeCell ref="L23:M23"/>
    <mergeCell ref="CE23:CE24"/>
    <mergeCell ref="CF23:CG24"/>
    <mergeCell ref="CE25:CF25"/>
    <mergeCell ref="G24:H24"/>
    <mergeCell ref="I24:J24"/>
    <mergeCell ref="AO28:AO29"/>
    <mergeCell ref="AQ28:AR28"/>
    <mergeCell ref="AT28:AU28"/>
    <mergeCell ref="AW28:AX28"/>
    <mergeCell ref="BY25:BZ25"/>
    <mergeCell ref="CB25:CD25"/>
    <mergeCell ref="AQ26:AR26"/>
    <mergeCell ref="AT26:AU26"/>
    <mergeCell ref="BX23:BX24"/>
    <mergeCell ref="BY23:BZ24"/>
    <mergeCell ref="CA23:CA24"/>
    <mergeCell ref="CC23:CD24"/>
    <mergeCell ref="O23:P23"/>
    <mergeCell ref="AM26:AN27"/>
    <mergeCell ref="AO26:AO27"/>
    <mergeCell ref="D27:E27"/>
    <mergeCell ref="AP30:AQ30"/>
    <mergeCell ref="AT30:AU30"/>
    <mergeCell ref="D28:E28"/>
    <mergeCell ref="I28:J28"/>
    <mergeCell ref="L28:M28"/>
    <mergeCell ref="O28:P28"/>
    <mergeCell ref="R28:S28"/>
    <mergeCell ref="U28:V28"/>
    <mergeCell ref="CR29:CT29"/>
    <mergeCell ref="CU29:CZ29"/>
    <mergeCell ref="G30:I30"/>
    <mergeCell ref="J30:L30"/>
    <mergeCell ref="M30:O30"/>
    <mergeCell ref="P30:R30"/>
    <mergeCell ref="S30:U30"/>
    <mergeCell ref="V30:AA30"/>
    <mergeCell ref="AM33:AN33"/>
    <mergeCell ref="AP33:AQ33"/>
    <mergeCell ref="BZ29:CB29"/>
    <mergeCell ref="CC29:CE29"/>
    <mergeCell ref="CF29:CH29"/>
    <mergeCell ref="CI29:CK29"/>
    <mergeCell ref="CL29:CN29"/>
    <mergeCell ref="CO29:CQ29"/>
    <mergeCell ref="G31:I31"/>
    <mergeCell ref="J31:L31"/>
    <mergeCell ref="M31:O31"/>
    <mergeCell ref="P31:R31"/>
    <mergeCell ref="S31:U31"/>
    <mergeCell ref="V31:X31"/>
    <mergeCell ref="Y31:AA31"/>
    <mergeCell ref="AR33:AS33"/>
    <mergeCell ref="BZ30:CB30"/>
    <mergeCell ref="CX31:CZ31"/>
    <mergeCell ref="AW33:AX33"/>
    <mergeCell ref="AY33:BA33"/>
    <mergeCell ref="BB33:BC33"/>
    <mergeCell ref="BZ31:CB31"/>
    <mergeCell ref="CC31:CE31"/>
    <mergeCell ref="CF31:CH31"/>
    <mergeCell ref="CR30:CT30"/>
    <mergeCell ref="CU30:CW30"/>
    <mergeCell ref="CX30:CZ30"/>
    <mergeCell ref="CC30:CE30"/>
    <mergeCell ref="CF30:CH30"/>
    <mergeCell ref="CL30:CN30"/>
    <mergeCell ref="CO30:CQ30"/>
    <mergeCell ref="CX32:CZ32"/>
    <mergeCell ref="CI31:CK31"/>
    <mergeCell ref="CL31:CN31"/>
    <mergeCell ref="CO31:CQ31"/>
    <mergeCell ref="CR31:CT31"/>
    <mergeCell ref="CU31:CW31"/>
    <mergeCell ref="CF32:CH32"/>
    <mergeCell ref="CU32:CW32"/>
    <mergeCell ref="V33:X33"/>
    <mergeCell ref="Y33:AA33"/>
    <mergeCell ref="BX33:BY33"/>
    <mergeCell ref="BG33:BH33"/>
    <mergeCell ref="BI33:BJ33"/>
    <mergeCell ref="CU33:CW33"/>
    <mergeCell ref="BZ32:CB32"/>
    <mergeCell ref="CC32:CE32"/>
    <mergeCell ref="M32:O32"/>
    <mergeCell ref="P32:R32"/>
    <mergeCell ref="S32:U32"/>
    <mergeCell ref="V32:X32"/>
    <mergeCell ref="Y32:AA32"/>
    <mergeCell ref="BX32:BY32"/>
    <mergeCell ref="M33:O33"/>
    <mergeCell ref="P33:R33"/>
    <mergeCell ref="S33:U33"/>
    <mergeCell ref="G32:I32"/>
    <mergeCell ref="J32:L32"/>
    <mergeCell ref="CR33:CT33"/>
    <mergeCell ref="CI32:CK32"/>
    <mergeCell ref="CL32:CN32"/>
    <mergeCell ref="CO32:CQ32"/>
    <mergeCell ref="CR32:CT32"/>
    <mergeCell ref="CX33:CZ33"/>
    <mergeCell ref="E34:F34"/>
    <mergeCell ref="G34:I34"/>
    <mergeCell ref="J34:L34"/>
    <mergeCell ref="M34:O34"/>
    <mergeCell ref="P34:R34"/>
    <mergeCell ref="S34:U34"/>
    <mergeCell ref="V34:X34"/>
    <mergeCell ref="BZ33:CB33"/>
    <mergeCell ref="CC33:CE33"/>
    <mergeCell ref="CF33:CH33"/>
    <mergeCell ref="CI33:CK33"/>
    <mergeCell ref="CL33:CN33"/>
    <mergeCell ref="CO33:CQ33"/>
    <mergeCell ref="E33:F33"/>
    <mergeCell ref="G33:I33"/>
    <mergeCell ref="J33:L33"/>
    <mergeCell ref="CX34:CZ34"/>
    <mergeCell ref="CF34:CH34"/>
    <mergeCell ref="E35:F35"/>
    <mergeCell ref="G35:I35"/>
    <mergeCell ref="J35:L35"/>
    <mergeCell ref="M35:O35"/>
    <mergeCell ref="P35:R35"/>
    <mergeCell ref="Y34:AA34"/>
    <mergeCell ref="BX34:BY34"/>
    <mergeCell ref="BZ34:CB34"/>
    <mergeCell ref="CC34:CE34"/>
    <mergeCell ref="CI34:CK34"/>
    <mergeCell ref="CO35:CQ35"/>
    <mergeCell ref="CR35:CT35"/>
    <mergeCell ref="CU35:CW35"/>
    <mergeCell ref="CX35:CZ35"/>
    <mergeCell ref="S35:U35"/>
    <mergeCell ref="V35:X35"/>
    <mergeCell ref="Y35:AA35"/>
    <mergeCell ref="CR34:CT34"/>
    <mergeCell ref="CU34:CW34"/>
    <mergeCell ref="BX35:BY35"/>
    <mergeCell ref="BZ35:CB35"/>
    <mergeCell ref="CC35:CE35"/>
    <mergeCell ref="AR36:AS36"/>
    <mergeCell ref="CL34:CN34"/>
    <mergeCell ref="CO34:CQ34"/>
    <mergeCell ref="AY36:BA36"/>
    <mergeCell ref="BB36:BC36"/>
    <mergeCell ref="BX36:BY36"/>
    <mergeCell ref="CF35:CH35"/>
    <mergeCell ref="CI35:CK35"/>
    <mergeCell ref="CL35:CN35"/>
    <mergeCell ref="CR36:CT36"/>
    <mergeCell ref="CU36:CW36"/>
    <mergeCell ref="CX36:CZ36"/>
    <mergeCell ref="E37:F37"/>
    <mergeCell ref="G37:I37"/>
    <mergeCell ref="J37:L37"/>
    <mergeCell ref="M37:O37"/>
    <mergeCell ref="P37:R37"/>
    <mergeCell ref="S37:U37"/>
    <mergeCell ref="V37:X37"/>
    <mergeCell ref="BZ36:CB36"/>
    <mergeCell ref="CC36:CE36"/>
    <mergeCell ref="CF36:CH36"/>
    <mergeCell ref="CI36:CK36"/>
    <mergeCell ref="CL36:CN36"/>
    <mergeCell ref="CO36:CQ36"/>
    <mergeCell ref="V36:X36"/>
    <mergeCell ref="Y36:AA36"/>
    <mergeCell ref="AW36:AX36"/>
    <mergeCell ref="CX37:CZ37"/>
    <mergeCell ref="CI37:CK37"/>
    <mergeCell ref="E36:F36"/>
    <mergeCell ref="G36:I36"/>
    <mergeCell ref="J36:L36"/>
    <mergeCell ref="CL37:CN37"/>
    <mergeCell ref="M36:O36"/>
    <mergeCell ref="P36:R36"/>
    <mergeCell ref="S36:U36"/>
    <mergeCell ref="CO37:CQ37"/>
    <mergeCell ref="CR37:CT37"/>
    <mergeCell ref="CU37:CW37"/>
    <mergeCell ref="Y37:AA37"/>
    <mergeCell ref="E38:F38"/>
    <mergeCell ref="G38:I38"/>
    <mergeCell ref="J38:L38"/>
    <mergeCell ref="M38:O38"/>
    <mergeCell ref="P38:R38"/>
    <mergeCell ref="S38:U38"/>
    <mergeCell ref="V38:X38"/>
    <mergeCell ref="Y38:AA38"/>
    <mergeCell ref="CF37:CH37"/>
    <mergeCell ref="BX37:BY37"/>
    <mergeCell ref="BZ37:CB37"/>
    <mergeCell ref="CC37:CE37"/>
    <mergeCell ref="AM36:AN36"/>
    <mergeCell ref="AP36:AQ36"/>
    <mergeCell ref="BG36:BH36"/>
    <mergeCell ref="BI36:BJ36"/>
  </mergeCells>
  <phoneticPr fontId="1"/>
  <pageMargins left="0.70866141732283472" right="0.70866141732283472" top="0.74803149606299213" bottom="0.74803149606299213" header="0.31496062992125984" footer="0.31496062992125984"/>
  <pageSetup paperSize="9" scale="74" orientation="portrait" r:id="rId1"/>
  <colBreaks count="3" manualBreakCount="3">
    <brk id="35" max="1048575" man="1"/>
    <brk id="70" max="1048575" man="1"/>
    <brk id="10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524B9-F067-42EA-B8DB-D9F21A30936E}">
  <dimension ref="B2:HB38"/>
  <sheetViews>
    <sheetView showGridLines="0" view="pageBreakPreview" zoomScale="60" zoomScaleNormal="70" workbookViewId="0">
      <selection activeCell="A2" sqref="A2"/>
    </sheetView>
  </sheetViews>
  <sheetFormatPr defaultRowHeight="18"/>
  <cols>
    <col min="1" max="210" width="3" customWidth="1"/>
  </cols>
  <sheetData>
    <row r="2" spans="2:210">
      <c r="B2" t="s">
        <v>488</v>
      </c>
    </row>
    <row r="3" spans="2:210">
      <c r="C3" t="s">
        <v>489</v>
      </c>
      <c r="AL3" t="s">
        <v>490</v>
      </c>
      <c r="BU3" t="s">
        <v>491</v>
      </c>
      <c r="DD3" t="s">
        <v>492</v>
      </c>
      <c r="EM3" t="s">
        <v>493</v>
      </c>
      <c r="FV3" t="s">
        <v>494</v>
      </c>
    </row>
    <row r="4" spans="2:210">
      <c r="D4" t="s">
        <v>316</v>
      </c>
      <c r="AM4" t="s">
        <v>316</v>
      </c>
      <c r="BV4" t="s">
        <v>316</v>
      </c>
      <c r="DE4" t="s">
        <v>316</v>
      </c>
      <c r="EN4" t="s">
        <v>316</v>
      </c>
      <c r="FW4" t="s">
        <v>316</v>
      </c>
    </row>
    <row r="5" spans="2:210">
      <c r="H5" s="134" t="s">
        <v>276</v>
      </c>
      <c r="I5" s="135"/>
      <c r="J5" s="136"/>
      <c r="K5" s="134" t="s">
        <v>242</v>
      </c>
      <c r="L5" s="135"/>
      <c r="M5" s="135"/>
      <c r="N5" s="135"/>
      <c r="O5" s="135"/>
      <c r="P5" s="136"/>
      <c r="Q5" s="134" t="s">
        <v>465</v>
      </c>
      <c r="R5" s="135"/>
      <c r="S5" s="135"/>
      <c r="T5" s="135"/>
      <c r="U5" s="135"/>
      <c r="V5" s="136"/>
      <c r="X5" s="34"/>
      <c r="Y5" s="35"/>
      <c r="Z5" s="35"/>
      <c r="AA5" s="35"/>
      <c r="AB5" s="35"/>
      <c r="AC5" s="40"/>
      <c r="AD5" s="34"/>
      <c r="AE5" s="35"/>
      <c r="AF5" s="35"/>
      <c r="AG5" s="35"/>
      <c r="AH5" s="35"/>
      <c r="AI5" s="40"/>
      <c r="AQ5" s="134" t="s">
        <v>276</v>
      </c>
      <c r="AR5" s="135"/>
      <c r="AS5" s="136"/>
      <c r="AT5" s="134" t="s">
        <v>242</v>
      </c>
      <c r="AU5" s="135"/>
      <c r="AV5" s="135"/>
      <c r="AW5" s="135"/>
      <c r="AX5" s="135"/>
      <c r="AY5" s="136"/>
      <c r="AZ5" s="134" t="s">
        <v>465</v>
      </c>
      <c r="BA5" s="135"/>
      <c r="BB5" s="135"/>
      <c r="BC5" s="135"/>
      <c r="BD5" s="135"/>
      <c r="BE5" s="136"/>
      <c r="BG5" s="34"/>
      <c r="BH5" s="35"/>
      <c r="BI5" s="35"/>
      <c r="BJ5" s="35"/>
      <c r="BK5" s="35"/>
      <c r="BL5" s="40"/>
      <c r="BM5" s="34"/>
      <c r="BN5" s="35"/>
      <c r="BO5" s="35"/>
      <c r="BP5" s="35"/>
      <c r="BQ5" s="35"/>
      <c r="BR5" s="40"/>
      <c r="BZ5" s="134" t="s">
        <v>276</v>
      </c>
      <c r="CA5" s="135"/>
      <c r="CB5" s="136"/>
      <c r="CC5" s="134" t="s">
        <v>242</v>
      </c>
      <c r="CD5" s="135"/>
      <c r="CE5" s="135"/>
      <c r="CF5" s="135"/>
      <c r="CG5" s="135"/>
      <c r="CH5" s="136"/>
      <c r="CI5" s="134" t="s">
        <v>465</v>
      </c>
      <c r="CJ5" s="135"/>
      <c r="CK5" s="135"/>
      <c r="CL5" s="135"/>
      <c r="CM5" s="135"/>
      <c r="CN5" s="136"/>
      <c r="CP5" s="34"/>
      <c r="CQ5" s="35"/>
      <c r="CR5" s="35"/>
      <c r="CS5" s="35"/>
      <c r="CT5" s="35"/>
      <c r="CU5" s="40"/>
      <c r="CV5" s="34"/>
      <c r="CW5" s="35"/>
      <c r="CX5" s="35"/>
      <c r="CY5" s="35"/>
      <c r="CZ5" s="35"/>
      <c r="DA5" s="40"/>
      <c r="DI5" s="134" t="s">
        <v>276</v>
      </c>
      <c r="DJ5" s="135"/>
      <c r="DK5" s="136"/>
      <c r="DL5" s="134" t="s">
        <v>242</v>
      </c>
      <c r="DM5" s="135"/>
      <c r="DN5" s="135"/>
      <c r="DO5" s="135"/>
      <c r="DP5" s="135"/>
      <c r="DQ5" s="136"/>
      <c r="DR5" s="134" t="s">
        <v>465</v>
      </c>
      <c r="DS5" s="135"/>
      <c r="DT5" s="135"/>
      <c r="DU5" s="135"/>
      <c r="DV5" s="135"/>
      <c r="DW5" s="136"/>
      <c r="DY5" s="34"/>
      <c r="DZ5" s="35"/>
      <c r="EA5" s="35"/>
      <c r="EB5" s="35"/>
      <c r="EC5" s="35"/>
      <c r="ED5" s="40"/>
      <c r="EE5" s="34"/>
      <c r="EF5" s="35"/>
      <c r="EG5" s="35"/>
      <c r="EH5" s="35"/>
      <c r="EI5" s="35"/>
      <c r="EJ5" s="40"/>
      <c r="ER5" s="134" t="s">
        <v>276</v>
      </c>
      <c r="ES5" s="135"/>
      <c r="ET5" s="136"/>
      <c r="EU5" s="134" t="s">
        <v>242</v>
      </c>
      <c r="EV5" s="135"/>
      <c r="EW5" s="135"/>
      <c r="EX5" s="135"/>
      <c r="EY5" s="135"/>
      <c r="EZ5" s="136"/>
      <c r="FA5" s="134" t="s">
        <v>465</v>
      </c>
      <c r="FB5" s="135"/>
      <c r="FC5" s="135"/>
      <c r="FD5" s="135"/>
      <c r="FE5" s="135"/>
      <c r="FF5" s="136"/>
      <c r="FH5" s="34"/>
      <c r="FI5" s="35"/>
      <c r="FJ5" s="35"/>
      <c r="FK5" s="35"/>
      <c r="FL5" s="35"/>
      <c r="FM5" s="40"/>
      <c r="FN5" s="34"/>
      <c r="FO5" s="35"/>
      <c r="FP5" s="35"/>
      <c r="FQ5" s="35"/>
      <c r="FR5" s="35"/>
      <c r="FS5" s="40"/>
      <c r="GA5" s="134" t="s">
        <v>276</v>
      </c>
      <c r="GB5" s="135"/>
      <c r="GC5" s="136"/>
      <c r="GD5" s="134" t="s">
        <v>242</v>
      </c>
      <c r="GE5" s="135"/>
      <c r="GF5" s="135"/>
      <c r="GG5" s="135"/>
      <c r="GH5" s="135"/>
      <c r="GI5" s="136"/>
      <c r="GJ5" s="134" t="s">
        <v>465</v>
      </c>
      <c r="GK5" s="135"/>
      <c r="GL5" s="135"/>
      <c r="GM5" s="135"/>
      <c r="GN5" s="135"/>
      <c r="GO5" s="136"/>
      <c r="GQ5" s="34"/>
      <c r="GR5" s="35"/>
      <c r="GS5" s="35"/>
      <c r="GT5" s="35"/>
      <c r="GU5" s="35"/>
      <c r="GV5" s="40"/>
      <c r="GW5" s="34"/>
      <c r="GX5" s="35"/>
      <c r="GY5" s="35"/>
      <c r="GZ5" s="35"/>
      <c r="HA5" s="35"/>
      <c r="HB5" s="40"/>
    </row>
    <row r="6" spans="2:210">
      <c r="H6" s="5"/>
      <c r="K6" s="134" t="s">
        <v>272</v>
      </c>
      <c r="L6" s="135"/>
      <c r="M6" s="136"/>
      <c r="N6" s="134" t="s">
        <v>296</v>
      </c>
      <c r="O6" s="135"/>
      <c r="P6" s="136"/>
      <c r="Q6" s="134" t="s">
        <v>272</v>
      </c>
      <c r="R6" s="135"/>
      <c r="S6" s="136"/>
      <c r="T6" s="134" t="s">
        <v>296</v>
      </c>
      <c r="U6" s="135"/>
      <c r="V6" s="136"/>
      <c r="X6" s="5"/>
      <c r="AC6" s="6"/>
      <c r="AD6" s="5"/>
      <c r="AI6" s="6"/>
      <c r="AQ6" s="5"/>
      <c r="AT6" s="134" t="s">
        <v>272</v>
      </c>
      <c r="AU6" s="135"/>
      <c r="AV6" s="136"/>
      <c r="AW6" s="134" t="s">
        <v>296</v>
      </c>
      <c r="AX6" s="135"/>
      <c r="AY6" s="136"/>
      <c r="AZ6" s="134" t="s">
        <v>272</v>
      </c>
      <c r="BA6" s="135"/>
      <c r="BB6" s="136"/>
      <c r="BC6" s="134" t="s">
        <v>296</v>
      </c>
      <c r="BD6" s="135"/>
      <c r="BE6" s="136"/>
      <c r="BG6" s="5"/>
      <c r="BL6" s="6"/>
      <c r="BM6" s="5"/>
      <c r="BR6" s="6"/>
      <c r="BZ6" s="5"/>
      <c r="CC6" s="134" t="s">
        <v>272</v>
      </c>
      <c r="CD6" s="135"/>
      <c r="CE6" s="136"/>
      <c r="CF6" s="134" t="s">
        <v>296</v>
      </c>
      <c r="CG6" s="135"/>
      <c r="CH6" s="136"/>
      <c r="CI6" s="134" t="s">
        <v>272</v>
      </c>
      <c r="CJ6" s="135"/>
      <c r="CK6" s="136"/>
      <c r="CL6" s="134" t="s">
        <v>296</v>
      </c>
      <c r="CM6" s="135"/>
      <c r="CN6" s="136"/>
      <c r="CP6" s="5"/>
      <c r="CU6" s="6"/>
      <c r="CV6" s="5"/>
      <c r="DA6" s="6"/>
      <c r="DI6" s="5"/>
      <c r="DL6" s="134" t="s">
        <v>272</v>
      </c>
      <c r="DM6" s="135"/>
      <c r="DN6" s="136"/>
      <c r="DO6" s="134" t="s">
        <v>296</v>
      </c>
      <c r="DP6" s="135"/>
      <c r="DQ6" s="136"/>
      <c r="DR6" s="134" t="s">
        <v>272</v>
      </c>
      <c r="DS6" s="135"/>
      <c r="DT6" s="136"/>
      <c r="DU6" s="134" t="s">
        <v>296</v>
      </c>
      <c r="DV6" s="135"/>
      <c r="DW6" s="136"/>
      <c r="DY6" s="5"/>
      <c r="ED6" s="6"/>
      <c r="EE6" s="5"/>
      <c r="EJ6" s="6"/>
      <c r="ER6" s="5"/>
      <c r="EU6" s="134" t="s">
        <v>272</v>
      </c>
      <c r="EV6" s="135"/>
      <c r="EW6" s="136"/>
      <c r="EX6" s="134" t="s">
        <v>296</v>
      </c>
      <c r="EY6" s="135"/>
      <c r="EZ6" s="136"/>
      <c r="FA6" s="134" t="s">
        <v>272</v>
      </c>
      <c r="FB6" s="135"/>
      <c r="FC6" s="136"/>
      <c r="FD6" s="134" t="s">
        <v>296</v>
      </c>
      <c r="FE6" s="135"/>
      <c r="FF6" s="136"/>
      <c r="FH6" s="5"/>
      <c r="FM6" s="6"/>
      <c r="FN6" s="5"/>
      <c r="FS6" s="6"/>
      <c r="GA6" s="5"/>
      <c r="GD6" s="134" t="s">
        <v>272</v>
      </c>
      <c r="GE6" s="135"/>
      <c r="GF6" s="136"/>
      <c r="GG6" s="134" t="s">
        <v>296</v>
      </c>
      <c r="GH6" s="135"/>
      <c r="GI6" s="136"/>
      <c r="GJ6" s="134" t="s">
        <v>272</v>
      </c>
      <c r="GK6" s="135"/>
      <c r="GL6" s="136"/>
      <c r="GM6" s="134" t="s">
        <v>296</v>
      </c>
      <c r="GN6" s="135"/>
      <c r="GO6" s="136"/>
      <c r="GQ6" s="5"/>
      <c r="GV6" s="6"/>
      <c r="GW6" s="5"/>
      <c r="HB6" s="6"/>
    </row>
    <row r="7" spans="2:210">
      <c r="H7" s="224" t="s">
        <v>273</v>
      </c>
      <c r="I7" s="218"/>
      <c r="J7" s="218"/>
      <c r="K7" s="224" t="s">
        <v>40</v>
      </c>
      <c r="L7" s="218"/>
      <c r="M7" s="225"/>
      <c r="N7" s="224" t="s">
        <v>297</v>
      </c>
      <c r="O7" s="218"/>
      <c r="P7" s="225"/>
      <c r="Q7" s="224" t="s">
        <v>526</v>
      </c>
      <c r="R7" s="218"/>
      <c r="S7" s="225"/>
      <c r="T7" s="224" t="s">
        <v>527</v>
      </c>
      <c r="U7" s="218"/>
      <c r="V7" s="225"/>
      <c r="X7" s="5"/>
      <c r="AC7" s="6"/>
      <c r="AD7" s="5"/>
      <c r="AI7" s="6"/>
      <c r="AQ7" s="224" t="s">
        <v>273</v>
      </c>
      <c r="AR7" s="218"/>
      <c r="AS7" s="218"/>
      <c r="AT7" s="224" t="s">
        <v>40</v>
      </c>
      <c r="AU7" s="218"/>
      <c r="AV7" s="225"/>
      <c r="AW7" s="224" t="s">
        <v>297</v>
      </c>
      <c r="AX7" s="218"/>
      <c r="AY7" s="225"/>
      <c r="AZ7" s="224" t="s">
        <v>526</v>
      </c>
      <c r="BA7" s="218"/>
      <c r="BB7" s="225"/>
      <c r="BC7" s="224" t="s">
        <v>527</v>
      </c>
      <c r="BD7" s="218"/>
      <c r="BE7" s="225"/>
      <c r="BG7" s="5"/>
      <c r="BL7" s="6"/>
      <c r="BM7" s="5"/>
      <c r="BR7" s="6"/>
      <c r="BZ7" s="224" t="s">
        <v>273</v>
      </c>
      <c r="CA7" s="218"/>
      <c r="CB7" s="218"/>
      <c r="CC7" s="224" t="s">
        <v>40</v>
      </c>
      <c r="CD7" s="218"/>
      <c r="CE7" s="225"/>
      <c r="CF7" s="224" t="s">
        <v>297</v>
      </c>
      <c r="CG7" s="218"/>
      <c r="CH7" s="225"/>
      <c r="CI7" s="224" t="s">
        <v>526</v>
      </c>
      <c r="CJ7" s="218"/>
      <c r="CK7" s="225"/>
      <c r="CL7" s="224" t="s">
        <v>527</v>
      </c>
      <c r="CM7" s="218"/>
      <c r="CN7" s="225"/>
      <c r="CP7" s="5"/>
      <c r="CU7" s="6"/>
      <c r="CV7" s="5"/>
      <c r="DA7" s="6"/>
      <c r="DI7" s="224" t="s">
        <v>273</v>
      </c>
      <c r="DJ7" s="218"/>
      <c r="DK7" s="218"/>
      <c r="DL7" s="224" t="s">
        <v>40</v>
      </c>
      <c r="DM7" s="218"/>
      <c r="DN7" s="225"/>
      <c r="DO7" s="224" t="s">
        <v>297</v>
      </c>
      <c r="DP7" s="218"/>
      <c r="DQ7" s="225"/>
      <c r="DR7" s="224" t="s">
        <v>526</v>
      </c>
      <c r="DS7" s="218"/>
      <c r="DT7" s="225"/>
      <c r="DU7" s="224" t="s">
        <v>527</v>
      </c>
      <c r="DV7" s="218"/>
      <c r="DW7" s="225"/>
      <c r="DY7" s="5"/>
      <c r="ED7" s="6"/>
      <c r="EE7" s="5"/>
      <c r="EJ7" s="6"/>
      <c r="ER7" s="224" t="s">
        <v>273</v>
      </c>
      <c r="ES7" s="218"/>
      <c r="ET7" s="218"/>
      <c r="EU7" s="224" t="s">
        <v>40</v>
      </c>
      <c r="EV7" s="218"/>
      <c r="EW7" s="225"/>
      <c r="EX7" s="224" t="s">
        <v>297</v>
      </c>
      <c r="EY7" s="218"/>
      <c r="EZ7" s="225"/>
      <c r="FA7" s="224" t="s">
        <v>526</v>
      </c>
      <c r="FB7" s="218"/>
      <c r="FC7" s="225"/>
      <c r="FD7" s="224" t="s">
        <v>527</v>
      </c>
      <c r="FE7" s="218"/>
      <c r="FF7" s="225"/>
      <c r="FH7" s="5"/>
      <c r="FM7" s="6"/>
      <c r="FN7" s="5"/>
      <c r="FS7" s="6"/>
      <c r="GA7" s="224" t="s">
        <v>273</v>
      </c>
      <c r="GB7" s="218"/>
      <c r="GC7" s="218"/>
      <c r="GD7" s="224" t="s">
        <v>40</v>
      </c>
      <c r="GE7" s="218"/>
      <c r="GF7" s="225"/>
      <c r="GG7" s="224" t="s">
        <v>297</v>
      </c>
      <c r="GH7" s="218"/>
      <c r="GI7" s="225"/>
      <c r="GJ7" s="224" t="s">
        <v>526</v>
      </c>
      <c r="GK7" s="218"/>
      <c r="GL7" s="225"/>
      <c r="GM7" s="224" t="s">
        <v>527</v>
      </c>
      <c r="GN7" s="218"/>
      <c r="GO7" s="225"/>
      <c r="GQ7" s="5"/>
      <c r="GV7" s="6"/>
      <c r="GW7" s="5"/>
      <c r="HB7" s="6"/>
    </row>
    <row r="8" spans="2:210">
      <c r="H8" s="221" t="s">
        <v>474</v>
      </c>
      <c r="I8" s="222"/>
      <c r="J8" s="222"/>
      <c r="K8" s="221" t="s">
        <v>474</v>
      </c>
      <c r="L8" s="222"/>
      <c r="M8" s="223"/>
      <c r="N8" s="221" t="s">
        <v>474</v>
      </c>
      <c r="O8" s="222"/>
      <c r="P8" s="223"/>
      <c r="Q8" s="221" t="s">
        <v>474</v>
      </c>
      <c r="R8" s="222"/>
      <c r="S8" s="223"/>
      <c r="T8" s="221" t="s">
        <v>474</v>
      </c>
      <c r="U8" s="222"/>
      <c r="V8" s="223"/>
      <c r="X8" s="5"/>
      <c r="AC8" s="6"/>
      <c r="AD8" s="5"/>
      <c r="AI8" s="6"/>
      <c r="AQ8" s="221" t="s">
        <v>474</v>
      </c>
      <c r="AR8" s="222"/>
      <c r="AS8" s="222"/>
      <c r="AT8" s="221" t="s">
        <v>474</v>
      </c>
      <c r="AU8" s="222"/>
      <c r="AV8" s="223"/>
      <c r="AW8" s="221" t="s">
        <v>474</v>
      </c>
      <c r="AX8" s="222"/>
      <c r="AY8" s="223"/>
      <c r="AZ8" s="221" t="s">
        <v>474</v>
      </c>
      <c r="BA8" s="222"/>
      <c r="BB8" s="223"/>
      <c r="BC8" s="221" t="s">
        <v>474</v>
      </c>
      <c r="BD8" s="222"/>
      <c r="BE8" s="223"/>
      <c r="BG8" s="5"/>
      <c r="BL8" s="6"/>
      <c r="BM8" s="5"/>
      <c r="BR8" s="6"/>
      <c r="BZ8" s="221" t="s">
        <v>474</v>
      </c>
      <c r="CA8" s="222"/>
      <c r="CB8" s="222"/>
      <c r="CC8" s="221" t="s">
        <v>474</v>
      </c>
      <c r="CD8" s="222"/>
      <c r="CE8" s="223"/>
      <c r="CF8" s="221" t="s">
        <v>474</v>
      </c>
      <c r="CG8" s="222"/>
      <c r="CH8" s="223"/>
      <c r="CI8" s="221" t="s">
        <v>474</v>
      </c>
      <c r="CJ8" s="222"/>
      <c r="CK8" s="223"/>
      <c r="CL8" s="221" t="s">
        <v>474</v>
      </c>
      <c r="CM8" s="222"/>
      <c r="CN8" s="223"/>
      <c r="CP8" s="5"/>
      <c r="CU8" s="6"/>
      <c r="CV8" s="5"/>
      <c r="DA8" s="6"/>
      <c r="DI8" s="221" t="s">
        <v>474</v>
      </c>
      <c r="DJ8" s="222"/>
      <c r="DK8" s="222"/>
      <c r="DL8" s="221" t="s">
        <v>474</v>
      </c>
      <c r="DM8" s="222"/>
      <c r="DN8" s="223"/>
      <c r="DO8" s="221" t="s">
        <v>474</v>
      </c>
      <c r="DP8" s="222"/>
      <c r="DQ8" s="223"/>
      <c r="DR8" s="221" t="s">
        <v>474</v>
      </c>
      <c r="DS8" s="222"/>
      <c r="DT8" s="223"/>
      <c r="DU8" s="221" t="s">
        <v>474</v>
      </c>
      <c r="DV8" s="222"/>
      <c r="DW8" s="223"/>
      <c r="DY8" s="5"/>
      <c r="ED8" s="6"/>
      <c r="EE8" s="5"/>
      <c r="EJ8" s="6"/>
      <c r="ER8" s="221" t="s">
        <v>474</v>
      </c>
      <c r="ES8" s="222"/>
      <c r="ET8" s="222"/>
      <c r="EU8" s="221" t="s">
        <v>474</v>
      </c>
      <c r="EV8" s="222"/>
      <c r="EW8" s="223"/>
      <c r="EX8" s="221" t="s">
        <v>474</v>
      </c>
      <c r="EY8" s="222"/>
      <c r="EZ8" s="223"/>
      <c r="FA8" s="221" t="s">
        <v>474</v>
      </c>
      <c r="FB8" s="222"/>
      <c r="FC8" s="223"/>
      <c r="FD8" s="221" t="s">
        <v>474</v>
      </c>
      <c r="FE8" s="222"/>
      <c r="FF8" s="223"/>
      <c r="FH8" s="5"/>
      <c r="FM8" s="6"/>
      <c r="FN8" s="5"/>
      <c r="FS8" s="6"/>
      <c r="GA8" s="221" t="s">
        <v>474</v>
      </c>
      <c r="GB8" s="222"/>
      <c r="GC8" s="222"/>
      <c r="GD8" s="221" t="s">
        <v>474</v>
      </c>
      <c r="GE8" s="222"/>
      <c r="GF8" s="223"/>
      <c r="GG8" s="221" t="s">
        <v>474</v>
      </c>
      <c r="GH8" s="222"/>
      <c r="GI8" s="223"/>
      <c r="GJ8" s="221" t="s">
        <v>474</v>
      </c>
      <c r="GK8" s="222"/>
      <c r="GL8" s="223"/>
      <c r="GM8" s="221" t="s">
        <v>474</v>
      </c>
      <c r="GN8" s="222"/>
      <c r="GO8" s="223"/>
      <c r="GQ8" s="5"/>
      <c r="GV8" s="6"/>
      <c r="GW8" s="5"/>
      <c r="HB8" s="6"/>
    </row>
    <row r="9" spans="2:210">
      <c r="D9" s="66">
        <v>6</v>
      </c>
      <c r="E9" s="53">
        <f>'2.自重'!$BW29</f>
        <v>6</v>
      </c>
      <c r="F9" s="240" t="str">
        <f t="shared" ref="F9" si="0">IF(E9&lt;&gt;"","段目","")</f>
        <v>段目</v>
      </c>
      <c r="G9" s="241"/>
      <c r="H9" s="170">
        <f>IF(E9&lt;&gt;"",'2.自重'!$BO$9*(D9-6),"")</f>
        <v>0</v>
      </c>
      <c r="I9" s="171"/>
      <c r="J9" s="172"/>
      <c r="K9" s="278">
        <f>MAX('2.自重'!CC29:CK29)</f>
        <v>0.71000000000000008</v>
      </c>
      <c r="L9" s="258"/>
      <c r="M9" s="279"/>
      <c r="N9" s="243">
        <f>IF(SUM(H9:M9)=0,"",SUM(H9:M9))</f>
        <v>0.71000000000000008</v>
      </c>
      <c r="O9" s="244"/>
      <c r="P9" s="244"/>
      <c r="Q9" s="278" t="str">
        <f>IF(('1.設計条件'!$BG$6+1)&gt;=D9, '2.浮力'!$AT31, "")</f>
        <v/>
      </c>
      <c r="R9" s="258"/>
      <c r="S9" s="279"/>
      <c r="T9" s="243" t="str">
        <f t="shared" ref="T9:T14" si="1">IF(Q9="","",SUM(H9,Q9))</f>
        <v/>
      </c>
      <c r="U9" s="244"/>
      <c r="V9" s="244"/>
      <c r="X9" s="5"/>
      <c r="AC9" s="6"/>
      <c r="AD9" s="5"/>
      <c r="AI9" s="6"/>
      <c r="AM9" s="66">
        <v>6</v>
      </c>
      <c r="AN9" s="53">
        <f>'2.自重'!$BW29</f>
        <v>6</v>
      </c>
      <c r="AO9" s="240" t="str">
        <f t="shared" ref="AO9:AO10" si="2">IF(AN9&lt;&gt;"","段目","")</f>
        <v>段目</v>
      </c>
      <c r="AP9" s="241"/>
      <c r="AQ9" s="170">
        <f>IF(AN9&lt;&gt;"",'2.自重'!$BO$9*(AM9-5),"")</f>
        <v>0.4</v>
      </c>
      <c r="AR9" s="171"/>
      <c r="AS9" s="171"/>
      <c r="AT9" s="170">
        <f>MAX('2.自重'!$CC29:$CK29)</f>
        <v>0.71000000000000008</v>
      </c>
      <c r="AU9" s="171"/>
      <c r="AV9" s="172"/>
      <c r="AW9" s="226">
        <f>IF(SUM(AQ9:AV9)=0,"",SUM(AQ9:AV9))</f>
        <v>1.1100000000000001</v>
      </c>
      <c r="AX9" s="227"/>
      <c r="AY9" s="227"/>
      <c r="AZ9" s="278" t="str">
        <f>IF(('1.設計条件'!$BG$6+1)&gt;=AM9, '2.浮力'!$AT31, "")</f>
        <v/>
      </c>
      <c r="BA9" s="258"/>
      <c r="BB9" s="279"/>
      <c r="BC9" s="226" t="str">
        <f t="shared" ref="BC9:BC14" si="3">IF(AZ9="","",SUM(AQ9,AZ9))</f>
        <v/>
      </c>
      <c r="BD9" s="227"/>
      <c r="BE9" s="227"/>
      <c r="BG9" s="5"/>
      <c r="BL9" s="6"/>
      <c r="BM9" s="5"/>
      <c r="BR9" s="6"/>
      <c r="BV9" s="66">
        <v>6</v>
      </c>
      <c r="BW9" s="53">
        <f>'2.自重'!$BW29</f>
        <v>6</v>
      </c>
      <c r="BX9" s="240" t="str">
        <f t="shared" ref="BX9:BX11" si="4">IF(BW9&lt;&gt;"","段目","")</f>
        <v>段目</v>
      </c>
      <c r="BY9" s="241"/>
      <c r="BZ9" s="170">
        <f>IF(BW9&lt;&gt;"",'2.自重'!$BO$9*(BV9-4),"")</f>
        <v>0.8</v>
      </c>
      <c r="CA9" s="171"/>
      <c r="CB9" s="171"/>
      <c r="CC9" s="170">
        <f>MAX('2.自重'!$CC29:$CK29)</f>
        <v>0.71000000000000008</v>
      </c>
      <c r="CD9" s="171"/>
      <c r="CE9" s="172"/>
      <c r="CF9" s="172">
        <f>IF(SUM(BZ9:CE9)=0,"",SUM(BZ9:CE9))</f>
        <v>1.5100000000000002</v>
      </c>
      <c r="CG9" s="227"/>
      <c r="CH9" s="227"/>
      <c r="CI9" s="278" t="str">
        <f>IF(('1.設計条件'!$BG$6+1)&gt;=BV9, '2.浮力'!$AT31, "")</f>
        <v/>
      </c>
      <c r="CJ9" s="258"/>
      <c r="CK9" s="279"/>
      <c r="CL9" s="226" t="str">
        <f t="shared" ref="CL9:CL14" si="5">IF(CI9="","",SUM(BZ9,CI9))</f>
        <v/>
      </c>
      <c r="CM9" s="227"/>
      <c r="CN9" s="227"/>
      <c r="CP9" s="5"/>
      <c r="CU9" s="6"/>
      <c r="CV9" s="5"/>
      <c r="DA9" s="6"/>
      <c r="DE9" s="66">
        <v>6</v>
      </c>
      <c r="DF9" s="53">
        <f>'2.自重'!$BW29</f>
        <v>6</v>
      </c>
      <c r="DG9" s="240" t="str">
        <f t="shared" ref="DG9:DG12" si="6">IF(DF9&lt;&gt;"","段目","")</f>
        <v>段目</v>
      </c>
      <c r="DH9" s="241"/>
      <c r="DI9" s="278">
        <f>IF(DF9&lt;&gt;"",'2.自重'!$BO$9*(DE9-3),"")</f>
        <v>1.2000000000000002</v>
      </c>
      <c r="DJ9" s="258"/>
      <c r="DK9" s="258"/>
      <c r="DL9" s="170">
        <f>MAX('2.自重'!$CC29:$CK29)</f>
        <v>0.71000000000000008</v>
      </c>
      <c r="DM9" s="171"/>
      <c r="DN9" s="172"/>
      <c r="DO9" s="172">
        <f>IF(SUM(DI9:DN9)=0,"",SUM(DI9:DN9))</f>
        <v>1.9100000000000001</v>
      </c>
      <c r="DP9" s="227"/>
      <c r="DQ9" s="227"/>
      <c r="DR9" s="278" t="str">
        <f>IF(('1.設計条件'!$BG$6+1)&gt;=DE9, '2.浮力'!$AT31, "")</f>
        <v/>
      </c>
      <c r="DS9" s="258"/>
      <c r="DT9" s="279"/>
      <c r="DU9" s="226" t="str">
        <f t="shared" ref="DU9:DU14" si="7">IF(DR9="","",SUM(DI9,DR9))</f>
        <v/>
      </c>
      <c r="DV9" s="227"/>
      <c r="DW9" s="227"/>
      <c r="DY9" s="5"/>
      <c r="ED9" s="6"/>
      <c r="EE9" s="5"/>
      <c r="EJ9" s="6"/>
      <c r="EN9" s="66">
        <v>6</v>
      </c>
      <c r="EO9" s="53">
        <f>'2.自重'!$BW29</f>
        <v>6</v>
      </c>
      <c r="EP9" s="240" t="str">
        <f t="shared" ref="EP9:EP13" si="8">IF(EO9&lt;&gt;"","段目","")</f>
        <v>段目</v>
      </c>
      <c r="EQ9" s="241"/>
      <c r="ER9" s="170">
        <f>IF(EO9&lt;&gt;"",'2.自重'!$BO$9*(EN9-2),"")</f>
        <v>1.6</v>
      </c>
      <c r="ES9" s="171"/>
      <c r="ET9" s="172"/>
      <c r="EU9" s="278">
        <f>MAX('2.自重'!$CC29:$CK29)</f>
        <v>0.71000000000000008</v>
      </c>
      <c r="EV9" s="258"/>
      <c r="EW9" s="279"/>
      <c r="EX9" s="226">
        <f>IF(SUM(ER9:EW9)=0,"",SUM(ER9:EW9))</f>
        <v>2.31</v>
      </c>
      <c r="EY9" s="227"/>
      <c r="EZ9" s="227"/>
      <c r="FA9" s="278" t="str">
        <f>IF(('1.設計条件'!$BG$6+1)&gt;=EN9, '2.浮力'!$AT31, "")</f>
        <v/>
      </c>
      <c r="FB9" s="258"/>
      <c r="FC9" s="279"/>
      <c r="FD9" s="226" t="str">
        <f t="shared" ref="FD9:FD14" si="9">IF(FA9="","",SUM(ER9,FA9))</f>
        <v/>
      </c>
      <c r="FE9" s="227"/>
      <c r="FF9" s="227"/>
      <c r="FH9" s="5"/>
      <c r="FM9" s="6"/>
      <c r="FN9" s="5"/>
      <c r="FS9" s="6"/>
      <c r="FW9" s="66">
        <v>6</v>
      </c>
      <c r="FX9" s="53">
        <f>'2.自重'!$BW29</f>
        <v>6</v>
      </c>
      <c r="FY9" s="240" t="str">
        <f t="shared" ref="FY9:FY14" si="10">IF(FX9&lt;&gt;"","段目","")</f>
        <v>段目</v>
      </c>
      <c r="FZ9" s="241"/>
      <c r="GA9" s="170">
        <f>IF(FX9&lt;&gt;"",'2.自重'!$BO$9*(FW9-1),"")</f>
        <v>2</v>
      </c>
      <c r="GB9" s="171"/>
      <c r="GC9" s="172"/>
      <c r="GD9" s="278">
        <f>MAX('2.自重'!$CC29:$CK29)</f>
        <v>0.71000000000000008</v>
      </c>
      <c r="GE9" s="258"/>
      <c r="GF9" s="279"/>
      <c r="GG9" s="226">
        <f t="shared" ref="GG9:GG14" si="11">IF(SUM(GA9:GF9)=0,"",SUM(GA9:GF9))</f>
        <v>2.71</v>
      </c>
      <c r="GH9" s="227"/>
      <c r="GI9" s="227"/>
      <c r="GJ9" s="278" t="str">
        <f>IF(('1.設計条件'!$BG$6+1)&gt;=FW9, '2.浮力'!$AT31, "")</f>
        <v/>
      </c>
      <c r="GK9" s="258"/>
      <c r="GL9" s="279"/>
      <c r="GM9" s="226" t="str">
        <f t="shared" ref="GM9:GM14" si="12">IF(GJ9="","",SUM(GA9,GJ9))</f>
        <v/>
      </c>
      <c r="GN9" s="227"/>
      <c r="GO9" s="227"/>
      <c r="GQ9" s="5"/>
      <c r="GV9" s="6"/>
      <c r="GW9" s="5"/>
      <c r="HB9" s="6"/>
    </row>
    <row r="10" spans="2:210">
      <c r="D10" s="66">
        <v>5</v>
      </c>
      <c r="E10" s="53"/>
      <c r="F10" s="240"/>
      <c r="G10" s="241"/>
      <c r="H10" s="170"/>
      <c r="I10" s="171"/>
      <c r="J10" s="172"/>
      <c r="K10" s="170"/>
      <c r="L10" s="171"/>
      <c r="M10" s="172"/>
      <c r="N10" s="226"/>
      <c r="O10" s="227"/>
      <c r="P10" s="227"/>
      <c r="Q10" s="278"/>
      <c r="R10" s="258"/>
      <c r="S10" s="279"/>
      <c r="T10" s="226" t="str">
        <f t="shared" si="1"/>
        <v/>
      </c>
      <c r="U10" s="227"/>
      <c r="V10" s="227"/>
      <c r="X10" s="5"/>
      <c r="AC10" s="6"/>
      <c r="AD10" s="5"/>
      <c r="AI10" s="6"/>
      <c r="AM10" s="66">
        <v>5</v>
      </c>
      <c r="AN10" s="53">
        <f>'2.自重'!$BW30</f>
        <v>5</v>
      </c>
      <c r="AO10" s="240" t="str">
        <f t="shared" si="2"/>
        <v>段目</v>
      </c>
      <c r="AP10" s="241"/>
      <c r="AQ10" s="170">
        <f>IF(AN10&lt;&gt;"",'2.自重'!$BO$9*(AM10-5),"")</f>
        <v>0</v>
      </c>
      <c r="AR10" s="171"/>
      <c r="AS10" s="171"/>
      <c r="AT10" s="170">
        <f>MAX('2.自重'!$CC30:$CK30)</f>
        <v>0.75</v>
      </c>
      <c r="AU10" s="171"/>
      <c r="AV10" s="172"/>
      <c r="AW10" s="226">
        <f>IF(SUM(AQ10:AV10)=0,"",SUM(AQ10:AV10))</f>
        <v>0.75</v>
      </c>
      <c r="AX10" s="227"/>
      <c r="AY10" s="227"/>
      <c r="AZ10" s="278" t="str">
        <f>IF(('1.設計条件'!$BG$6+1)&gt;=AM10, '2.浮力'!$AT32, "")</f>
        <v/>
      </c>
      <c r="BA10" s="258"/>
      <c r="BB10" s="279"/>
      <c r="BC10" s="226" t="str">
        <f t="shared" si="3"/>
        <v/>
      </c>
      <c r="BD10" s="227"/>
      <c r="BE10" s="227"/>
      <c r="BG10" s="5"/>
      <c r="BL10" s="6"/>
      <c r="BM10" s="5"/>
      <c r="BR10" s="6"/>
      <c r="BV10" s="66">
        <v>5</v>
      </c>
      <c r="BW10" s="53">
        <f>'2.自重'!$BW30</f>
        <v>5</v>
      </c>
      <c r="BX10" s="240" t="str">
        <f t="shared" si="4"/>
        <v>段目</v>
      </c>
      <c r="BY10" s="241"/>
      <c r="BZ10" s="170">
        <f>IF(BW10&lt;&gt;"",'2.自重'!$BO$9*(BV10-4),"")</f>
        <v>0.4</v>
      </c>
      <c r="CA10" s="171"/>
      <c r="CB10" s="171"/>
      <c r="CC10" s="170">
        <f>MAX('2.自重'!$CC30:$CK30)</f>
        <v>0.75</v>
      </c>
      <c r="CD10" s="171"/>
      <c r="CE10" s="172"/>
      <c r="CF10" s="172">
        <f>IF(SUM(BZ10:CE10)=0,"",SUM(BZ10:CE10))</f>
        <v>1.1499999999999999</v>
      </c>
      <c r="CG10" s="227"/>
      <c r="CH10" s="227"/>
      <c r="CI10" s="278" t="str">
        <f>IF(('1.設計条件'!$BG$6+1)&gt;=BV10, '2.浮力'!$AT32, "")</f>
        <v/>
      </c>
      <c r="CJ10" s="258"/>
      <c r="CK10" s="279"/>
      <c r="CL10" s="226" t="str">
        <f t="shared" si="5"/>
        <v/>
      </c>
      <c r="CM10" s="227"/>
      <c r="CN10" s="227"/>
      <c r="CP10" s="5"/>
      <c r="CU10" s="6"/>
      <c r="CV10" s="5"/>
      <c r="DA10" s="6"/>
      <c r="DE10" s="66">
        <v>5</v>
      </c>
      <c r="DF10" s="53">
        <f>'2.自重'!$BW30</f>
        <v>5</v>
      </c>
      <c r="DG10" s="240" t="str">
        <f t="shared" si="6"/>
        <v>段目</v>
      </c>
      <c r="DH10" s="241"/>
      <c r="DI10" s="170">
        <f>IF(DF10&lt;&gt;"",'2.自重'!$BO$9*(DE10-3),"")</f>
        <v>0.8</v>
      </c>
      <c r="DJ10" s="171"/>
      <c r="DK10" s="171"/>
      <c r="DL10" s="170">
        <f>MAX('2.自重'!$CC30:$CK30)</f>
        <v>0.75</v>
      </c>
      <c r="DM10" s="171"/>
      <c r="DN10" s="172"/>
      <c r="DO10" s="172">
        <f>IF(SUM(DI10:DN10)=0,"",SUM(DI10:DN10))</f>
        <v>1.55</v>
      </c>
      <c r="DP10" s="227"/>
      <c r="DQ10" s="227"/>
      <c r="DR10" s="278" t="str">
        <f>IF(('1.設計条件'!$BG$6+1)&gt;=DE10, '2.浮力'!$AT32, "")</f>
        <v/>
      </c>
      <c r="DS10" s="258"/>
      <c r="DT10" s="279"/>
      <c r="DU10" s="226" t="str">
        <f t="shared" si="7"/>
        <v/>
      </c>
      <c r="DV10" s="227"/>
      <c r="DW10" s="227"/>
      <c r="DY10" s="5"/>
      <c r="ED10" s="6"/>
      <c r="EE10" s="5"/>
      <c r="EJ10" s="6"/>
      <c r="EN10" s="66">
        <v>5</v>
      </c>
      <c r="EO10" s="53">
        <f>'2.自重'!$BW30</f>
        <v>5</v>
      </c>
      <c r="EP10" s="240" t="str">
        <f t="shared" si="8"/>
        <v>段目</v>
      </c>
      <c r="EQ10" s="241"/>
      <c r="ER10" s="170">
        <f>IF(EO10&lt;&gt;"",'2.自重'!$BO$9*(EN10-2),"")</f>
        <v>1.2000000000000002</v>
      </c>
      <c r="ES10" s="171"/>
      <c r="ET10" s="172"/>
      <c r="EU10" s="170">
        <f>MAX('2.自重'!$CC30:$CK30)</f>
        <v>0.75</v>
      </c>
      <c r="EV10" s="171"/>
      <c r="EW10" s="172"/>
      <c r="EX10" s="226">
        <f>IF(SUM(ER10:EW10)=0,"",SUM(ER10:EW10))</f>
        <v>1.9500000000000002</v>
      </c>
      <c r="EY10" s="227"/>
      <c r="EZ10" s="227"/>
      <c r="FA10" s="278" t="str">
        <f>IF(('1.設計条件'!$BG$6+1)&gt;=EN10, '2.浮力'!$AT32, "")</f>
        <v/>
      </c>
      <c r="FB10" s="258"/>
      <c r="FC10" s="279"/>
      <c r="FD10" s="226" t="str">
        <f t="shared" si="9"/>
        <v/>
      </c>
      <c r="FE10" s="227"/>
      <c r="FF10" s="227"/>
      <c r="FH10" s="5"/>
      <c r="FM10" s="6"/>
      <c r="FN10" s="5"/>
      <c r="FS10" s="6"/>
      <c r="FW10" s="66">
        <v>5</v>
      </c>
      <c r="FX10" s="53">
        <f>'2.自重'!$BW30</f>
        <v>5</v>
      </c>
      <c r="FY10" s="240" t="str">
        <f t="shared" si="10"/>
        <v>段目</v>
      </c>
      <c r="FZ10" s="241"/>
      <c r="GA10" s="170">
        <f>IF(FX10&lt;&gt;"",'2.自重'!$BO$9*(FW10-1),"")</f>
        <v>1.6</v>
      </c>
      <c r="GB10" s="171"/>
      <c r="GC10" s="172"/>
      <c r="GD10" s="170">
        <f>MAX('2.自重'!$CC30:$CK30)</f>
        <v>0.75</v>
      </c>
      <c r="GE10" s="171"/>
      <c r="GF10" s="172"/>
      <c r="GG10" s="226">
        <f t="shared" si="11"/>
        <v>2.35</v>
      </c>
      <c r="GH10" s="227"/>
      <c r="GI10" s="227"/>
      <c r="GJ10" s="278" t="str">
        <f>IF(('1.設計条件'!$BG$6+1)&gt;=FW10, '2.浮力'!$AT32, "")</f>
        <v/>
      </c>
      <c r="GK10" s="258"/>
      <c r="GL10" s="279"/>
      <c r="GM10" s="226" t="str">
        <f t="shared" si="12"/>
        <v/>
      </c>
      <c r="GN10" s="227"/>
      <c r="GO10" s="227"/>
      <c r="GQ10" s="5"/>
      <c r="GV10" s="6"/>
      <c r="GW10" s="5"/>
      <c r="HB10" s="6"/>
    </row>
    <row r="11" spans="2:210">
      <c r="D11" s="66">
        <v>4</v>
      </c>
      <c r="E11" s="53"/>
      <c r="F11" s="240"/>
      <c r="G11" s="241"/>
      <c r="H11" s="170"/>
      <c r="I11" s="171"/>
      <c r="J11" s="172"/>
      <c r="K11" s="170"/>
      <c r="L11" s="171"/>
      <c r="M11" s="172"/>
      <c r="N11" s="226"/>
      <c r="O11" s="227"/>
      <c r="P11" s="227"/>
      <c r="Q11" s="278"/>
      <c r="R11" s="258"/>
      <c r="S11" s="279"/>
      <c r="T11" s="226" t="str">
        <f t="shared" si="1"/>
        <v/>
      </c>
      <c r="U11" s="227"/>
      <c r="V11" s="227"/>
      <c r="X11" s="5"/>
      <c r="AC11" s="6"/>
      <c r="AD11" s="5"/>
      <c r="AI11" s="6"/>
      <c r="AM11" s="66">
        <v>4</v>
      </c>
      <c r="AN11" s="53"/>
      <c r="AO11" s="240"/>
      <c r="AP11" s="241"/>
      <c r="AQ11" s="170"/>
      <c r="AR11" s="171"/>
      <c r="AS11" s="171"/>
      <c r="AT11" s="170"/>
      <c r="AU11" s="171"/>
      <c r="AV11" s="172"/>
      <c r="AW11" s="226"/>
      <c r="AX11" s="227"/>
      <c r="AY11" s="227"/>
      <c r="AZ11" s="278"/>
      <c r="BA11" s="258"/>
      <c r="BB11" s="279"/>
      <c r="BC11" s="226" t="str">
        <f t="shared" si="3"/>
        <v/>
      </c>
      <c r="BD11" s="227"/>
      <c r="BE11" s="227"/>
      <c r="BG11" s="5"/>
      <c r="BL11" s="6"/>
      <c r="BM11" s="5"/>
      <c r="BR11" s="6"/>
      <c r="BV11" s="66">
        <v>4</v>
      </c>
      <c r="BW11" s="53">
        <f>'2.自重'!$BW31</f>
        <v>4</v>
      </c>
      <c r="BX11" s="240" t="str">
        <f t="shared" si="4"/>
        <v>段目</v>
      </c>
      <c r="BY11" s="241"/>
      <c r="BZ11" s="170">
        <f>IF(BW11&lt;&gt;"",'2.自重'!$BO$9*(BV11-4),"")</f>
        <v>0</v>
      </c>
      <c r="CA11" s="171"/>
      <c r="CB11" s="171"/>
      <c r="CC11" s="170">
        <f>MAX('2.自重'!$CC31:$CK31)</f>
        <v>0.75</v>
      </c>
      <c r="CD11" s="171"/>
      <c r="CE11" s="172"/>
      <c r="CF11" s="172">
        <f>IF(SUM(BZ11:CE11)=0,"",SUM(BZ11:CE11))</f>
        <v>0.75</v>
      </c>
      <c r="CG11" s="227"/>
      <c r="CH11" s="227"/>
      <c r="CI11" s="278">
        <f>IF(('1.設計条件'!$BG$6+1)&gt;=BV11, '2.浮力'!$AT33, "")</f>
        <v>0.63000000000000012</v>
      </c>
      <c r="CJ11" s="258"/>
      <c r="CK11" s="279"/>
      <c r="CL11" s="226">
        <f t="shared" si="5"/>
        <v>0.63000000000000012</v>
      </c>
      <c r="CM11" s="227"/>
      <c r="CN11" s="227"/>
      <c r="CP11" s="5"/>
      <c r="CU11" s="6"/>
      <c r="CV11" s="5"/>
      <c r="DA11" s="6"/>
      <c r="DE11" s="66">
        <v>4</v>
      </c>
      <c r="DF11" s="53">
        <f>'2.自重'!$BW31</f>
        <v>4</v>
      </c>
      <c r="DG11" s="240" t="str">
        <f t="shared" si="6"/>
        <v>段目</v>
      </c>
      <c r="DH11" s="241"/>
      <c r="DI11" s="170">
        <f>IF(DF11&lt;&gt;"",'2.自重'!$BO$9*(DE11-3),"")</f>
        <v>0.4</v>
      </c>
      <c r="DJ11" s="171"/>
      <c r="DK11" s="171"/>
      <c r="DL11" s="170">
        <f>MAX('2.自重'!$CC31:$CK31)</f>
        <v>0.75</v>
      </c>
      <c r="DM11" s="171"/>
      <c r="DN11" s="172"/>
      <c r="DO11" s="172">
        <f>IF(SUM(DI11:DN11)=0,"",SUM(DI11:DN11))</f>
        <v>1.1499999999999999</v>
      </c>
      <c r="DP11" s="227"/>
      <c r="DQ11" s="227"/>
      <c r="DR11" s="278">
        <f>IF(('1.設計条件'!$BG$6+1)&gt;=DE11, '2.浮力'!$AT33, "")</f>
        <v>0.63000000000000012</v>
      </c>
      <c r="DS11" s="258"/>
      <c r="DT11" s="279"/>
      <c r="DU11" s="226">
        <f t="shared" si="7"/>
        <v>1.0300000000000002</v>
      </c>
      <c r="DV11" s="227"/>
      <c r="DW11" s="227"/>
      <c r="DY11" s="5"/>
      <c r="ED11" s="6"/>
      <c r="EE11" s="5"/>
      <c r="EJ11" s="6"/>
      <c r="EN11" s="66">
        <v>4</v>
      </c>
      <c r="EO11" s="53">
        <f>'2.自重'!$BW31</f>
        <v>4</v>
      </c>
      <c r="EP11" s="240" t="str">
        <f t="shared" si="8"/>
        <v>段目</v>
      </c>
      <c r="EQ11" s="241"/>
      <c r="ER11" s="170">
        <f>IF(EO11&lt;&gt;"",'2.自重'!$BO$9*(EN11-2),"")</f>
        <v>0.8</v>
      </c>
      <c r="ES11" s="171"/>
      <c r="ET11" s="172"/>
      <c r="EU11" s="170">
        <f>MAX('2.自重'!$CC31:$CK31)</f>
        <v>0.75</v>
      </c>
      <c r="EV11" s="171"/>
      <c r="EW11" s="172"/>
      <c r="EX11" s="226">
        <f>IF(SUM(ER11:EW11)=0,"",SUM(ER11:EW11))</f>
        <v>1.55</v>
      </c>
      <c r="EY11" s="227"/>
      <c r="EZ11" s="227"/>
      <c r="FA11" s="278">
        <f>IF(('1.設計条件'!$BG$6+1)&gt;=EN11, '2.浮力'!$AT33, "")</f>
        <v>0.63000000000000012</v>
      </c>
      <c r="FB11" s="258"/>
      <c r="FC11" s="279"/>
      <c r="FD11" s="226">
        <f t="shared" si="9"/>
        <v>1.4300000000000002</v>
      </c>
      <c r="FE11" s="227"/>
      <c r="FF11" s="227"/>
      <c r="FH11" s="5"/>
      <c r="FM11" s="6"/>
      <c r="FN11" s="5"/>
      <c r="FS11" s="6"/>
      <c r="FW11" s="66">
        <v>4</v>
      </c>
      <c r="FX11" s="53">
        <f>'2.自重'!$BW31</f>
        <v>4</v>
      </c>
      <c r="FY11" s="240" t="str">
        <f t="shared" si="10"/>
        <v>段目</v>
      </c>
      <c r="FZ11" s="241"/>
      <c r="GA11" s="170">
        <f>IF(FX11&lt;&gt;"",'2.自重'!$BO$9*(FW11-1),"")</f>
        <v>1.2000000000000002</v>
      </c>
      <c r="GB11" s="171"/>
      <c r="GC11" s="172"/>
      <c r="GD11" s="170">
        <f>MAX('2.自重'!$CC31:$CK31)</f>
        <v>0.75</v>
      </c>
      <c r="GE11" s="171"/>
      <c r="GF11" s="172"/>
      <c r="GG11" s="226">
        <f t="shared" si="11"/>
        <v>1.9500000000000002</v>
      </c>
      <c r="GH11" s="227"/>
      <c r="GI11" s="227"/>
      <c r="GJ11" s="278">
        <f>IF(('1.設計条件'!$BG$6+1)&gt;=FW11, '2.浮力'!$AT33, "")</f>
        <v>0.63000000000000012</v>
      </c>
      <c r="GK11" s="258"/>
      <c r="GL11" s="279"/>
      <c r="GM11" s="226">
        <f t="shared" si="12"/>
        <v>1.8300000000000003</v>
      </c>
      <c r="GN11" s="227"/>
      <c r="GO11" s="227"/>
      <c r="GQ11" s="5"/>
      <c r="GV11" s="6"/>
      <c r="GW11" s="5"/>
      <c r="HB11" s="6"/>
    </row>
    <row r="12" spans="2:210">
      <c r="D12" s="66">
        <v>3</v>
      </c>
      <c r="E12" s="53"/>
      <c r="F12" s="240"/>
      <c r="G12" s="241"/>
      <c r="H12" s="170"/>
      <c r="I12" s="171"/>
      <c r="J12" s="172"/>
      <c r="K12" s="170"/>
      <c r="L12" s="171"/>
      <c r="M12" s="172"/>
      <c r="N12" s="226"/>
      <c r="O12" s="227"/>
      <c r="P12" s="227"/>
      <c r="Q12" s="278"/>
      <c r="R12" s="258"/>
      <c r="S12" s="279"/>
      <c r="T12" s="226" t="str">
        <f t="shared" si="1"/>
        <v/>
      </c>
      <c r="U12" s="227"/>
      <c r="V12" s="227"/>
      <c r="X12" s="5"/>
      <c r="AC12" s="6"/>
      <c r="AD12" s="5"/>
      <c r="AI12" s="6"/>
      <c r="AM12" s="66">
        <v>3</v>
      </c>
      <c r="AN12" s="53"/>
      <c r="AO12" s="240"/>
      <c r="AP12" s="241"/>
      <c r="AQ12" s="170"/>
      <c r="AR12" s="171"/>
      <c r="AS12" s="171"/>
      <c r="AT12" s="170"/>
      <c r="AU12" s="171"/>
      <c r="AV12" s="172"/>
      <c r="AW12" s="226"/>
      <c r="AX12" s="227"/>
      <c r="AY12" s="227"/>
      <c r="AZ12" s="278"/>
      <c r="BA12" s="258"/>
      <c r="BB12" s="279"/>
      <c r="BC12" s="226" t="str">
        <f t="shared" si="3"/>
        <v/>
      </c>
      <c r="BD12" s="227"/>
      <c r="BE12" s="227"/>
      <c r="BG12" s="5"/>
      <c r="BL12" s="6"/>
      <c r="BM12" s="5"/>
      <c r="BR12" s="6"/>
      <c r="BV12" s="66">
        <v>3</v>
      </c>
      <c r="BW12" s="53"/>
      <c r="BX12" s="240"/>
      <c r="BY12" s="241"/>
      <c r="BZ12" s="170"/>
      <c r="CA12" s="171"/>
      <c r="CB12" s="171"/>
      <c r="CC12" s="170"/>
      <c r="CD12" s="171"/>
      <c r="CE12" s="172"/>
      <c r="CF12" s="172"/>
      <c r="CG12" s="227"/>
      <c r="CH12" s="227"/>
      <c r="CI12" s="278"/>
      <c r="CJ12" s="258"/>
      <c r="CK12" s="279"/>
      <c r="CL12" s="226" t="str">
        <f t="shared" si="5"/>
        <v/>
      </c>
      <c r="CM12" s="227"/>
      <c r="CN12" s="227"/>
      <c r="CP12" s="5"/>
      <c r="CU12" s="6"/>
      <c r="CV12" s="5"/>
      <c r="DA12" s="6"/>
      <c r="DE12" s="66">
        <v>3</v>
      </c>
      <c r="DF12" s="53">
        <f>'2.自重'!$BW32</f>
        <v>3</v>
      </c>
      <c r="DG12" s="240" t="str">
        <f t="shared" si="6"/>
        <v>段目</v>
      </c>
      <c r="DH12" s="241"/>
      <c r="DI12" s="170">
        <v>0</v>
      </c>
      <c r="DJ12" s="171"/>
      <c r="DK12" s="171"/>
      <c r="DL12" s="170">
        <f>MAX('2.自重'!$CC32:$CK32)</f>
        <v>0.75</v>
      </c>
      <c r="DM12" s="171"/>
      <c r="DN12" s="172"/>
      <c r="DO12" s="172">
        <f>IF(SUM(DI12:DN12)=0,"",SUM(DI12:DN12))</f>
        <v>0.75</v>
      </c>
      <c r="DP12" s="227"/>
      <c r="DQ12" s="227"/>
      <c r="DR12" s="278">
        <f>IF(('1.設計条件'!$BG$6+1)&gt;=DE12, '2.浮力'!$AT34, "")</f>
        <v>0.75</v>
      </c>
      <c r="DS12" s="258"/>
      <c r="DT12" s="279"/>
      <c r="DU12" s="226">
        <f t="shared" si="7"/>
        <v>0.75</v>
      </c>
      <c r="DV12" s="227"/>
      <c r="DW12" s="227"/>
      <c r="DY12" s="5"/>
      <c r="ED12" s="6"/>
      <c r="EE12" s="5"/>
      <c r="EJ12" s="6"/>
      <c r="EN12" s="66">
        <v>3</v>
      </c>
      <c r="EO12" s="53">
        <f>'2.自重'!$BW32</f>
        <v>3</v>
      </c>
      <c r="EP12" s="240" t="str">
        <f t="shared" si="8"/>
        <v>段目</v>
      </c>
      <c r="EQ12" s="241"/>
      <c r="ER12" s="170">
        <f>IF(EO12&lt;&gt;"",'2.自重'!$BO$9*(EN12-2),"")</f>
        <v>0.4</v>
      </c>
      <c r="ES12" s="171"/>
      <c r="ET12" s="172"/>
      <c r="EU12" s="170">
        <f>MAX('2.自重'!$CC32:$CK32)</f>
        <v>0.75</v>
      </c>
      <c r="EV12" s="171"/>
      <c r="EW12" s="172"/>
      <c r="EX12" s="226">
        <f>IF(SUM(ER12:EW12)=0,"",SUM(ER12:EW12))</f>
        <v>1.1499999999999999</v>
      </c>
      <c r="EY12" s="227"/>
      <c r="EZ12" s="227"/>
      <c r="FA12" s="278">
        <f>IF(('1.設計条件'!$BG$6+1)&gt;=EN12, '2.浮力'!$AT34, "")</f>
        <v>0.75</v>
      </c>
      <c r="FB12" s="258"/>
      <c r="FC12" s="279"/>
      <c r="FD12" s="226">
        <f t="shared" si="9"/>
        <v>1.1499999999999999</v>
      </c>
      <c r="FE12" s="227"/>
      <c r="FF12" s="227"/>
      <c r="FH12" s="5"/>
      <c r="FM12" s="6"/>
      <c r="FN12" s="5"/>
      <c r="FS12" s="6"/>
      <c r="FW12" s="66">
        <v>3</v>
      </c>
      <c r="FX12" s="53">
        <f>'2.自重'!$BW32</f>
        <v>3</v>
      </c>
      <c r="FY12" s="240" t="str">
        <f t="shared" si="10"/>
        <v>段目</v>
      </c>
      <c r="FZ12" s="241"/>
      <c r="GA12" s="170">
        <f>IF(FX12&lt;&gt;"",'2.自重'!$BO$9*(FW12-1),"")</f>
        <v>0.8</v>
      </c>
      <c r="GB12" s="171"/>
      <c r="GC12" s="172"/>
      <c r="GD12" s="170">
        <f>MAX('2.自重'!$CC32:$CK32)</f>
        <v>0.75</v>
      </c>
      <c r="GE12" s="171"/>
      <c r="GF12" s="172"/>
      <c r="GG12" s="226">
        <f t="shared" si="11"/>
        <v>1.55</v>
      </c>
      <c r="GH12" s="227"/>
      <c r="GI12" s="227"/>
      <c r="GJ12" s="278">
        <f>IF(('1.設計条件'!$BG$6+1)&gt;=FW12, '2.浮力'!$AT34, "")</f>
        <v>0.75</v>
      </c>
      <c r="GK12" s="258"/>
      <c r="GL12" s="279"/>
      <c r="GM12" s="226">
        <f t="shared" si="12"/>
        <v>1.55</v>
      </c>
      <c r="GN12" s="227"/>
      <c r="GO12" s="227"/>
      <c r="GQ12" s="5"/>
      <c r="GV12" s="6"/>
      <c r="GW12" s="5"/>
      <c r="HB12" s="6"/>
    </row>
    <row r="13" spans="2:210">
      <c r="D13" s="66">
        <v>2</v>
      </c>
      <c r="E13" s="53"/>
      <c r="F13" s="240"/>
      <c r="G13" s="241"/>
      <c r="H13" s="170"/>
      <c r="I13" s="171"/>
      <c r="J13" s="172"/>
      <c r="K13" s="170"/>
      <c r="L13" s="171"/>
      <c r="M13" s="172"/>
      <c r="N13" s="226"/>
      <c r="O13" s="227"/>
      <c r="P13" s="227"/>
      <c r="Q13" s="170"/>
      <c r="R13" s="171"/>
      <c r="S13" s="172"/>
      <c r="T13" s="226" t="str">
        <f t="shared" si="1"/>
        <v/>
      </c>
      <c r="U13" s="227"/>
      <c r="V13" s="227"/>
      <c r="X13" s="5"/>
      <c r="AC13" s="6"/>
      <c r="AD13" s="5"/>
      <c r="AI13" s="6"/>
      <c r="AM13" s="66">
        <v>2</v>
      </c>
      <c r="AN13" s="53"/>
      <c r="AO13" s="240"/>
      <c r="AP13" s="241"/>
      <c r="AQ13" s="170"/>
      <c r="AR13" s="171"/>
      <c r="AS13" s="171"/>
      <c r="AT13" s="170"/>
      <c r="AU13" s="171"/>
      <c r="AV13" s="172"/>
      <c r="AW13" s="226"/>
      <c r="AX13" s="227"/>
      <c r="AY13" s="227"/>
      <c r="AZ13" s="170"/>
      <c r="BA13" s="171"/>
      <c r="BB13" s="172"/>
      <c r="BC13" s="226" t="str">
        <f t="shared" si="3"/>
        <v/>
      </c>
      <c r="BD13" s="227"/>
      <c r="BE13" s="227"/>
      <c r="BG13" s="5"/>
      <c r="BL13" s="6"/>
      <c r="BM13" s="5"/>
      <c r="BR13" s="6"/>
      <c r="BV13" s="66">
        <v>2</v>
      </c>
      <c r="BW13" s="53"/>
      <c r="BX13" s="240"/>
      <c r="BY13" s="241"/>
      <c r="BZ13" s="170"/>
      <c r="CA13" s="171"/>
      <c r="CB13" s="171"/>
      <c r="CC13" s="170"/>
      <c r="CD13" s="171"/>
      <c r="CE13" s="172"/>
      <c r="CF13" s="172"/>
      <c r="CG13" s="227"/>
      <c r="CH13" s="227"/>
      <c r="CI13" s="170"/>
      <c r="CJ13" s="171"/>
      <c r="CK13" s="172"/>
      <c r="CL13" s="226" t="str">
        <f t="shared" si="5"/>
        <v/>
      </c>
      <c r="CM13" s="227"/>
      <c r="CN13" s="227"/>
      <c r="CP13" s="5"/>
      <c r="CU13" s="6"/>
      <c r="CV13" s="5"/>
      <c r="DA13" s="6"/>
      <c r="DE13" s="66">
        <v>2</v>
      </c>
      <c r="DF13" s="53"/>
      <c r="DG13" s="240"/>
      <c r="DH13" s="241"/>
      <c r="DI13" s="170"/>
      <c r="DJ13" s="171"/>
      <c r="DK13" s="171"/>
      <c r="DL13" s="170"/>
      <c r="DM13" s="171"/>
      <c r="DN13" s="172"/>
      <c r="DO13" s="172"/>
      <c r="DP13" s="227"/>
      <c r="DQ13" s="227"/>
      <c r="DR13" s="170"/>
      <c r="DS13" s="171"/>
      <c r="DT13" s="172"/>
      <c r="DU13" s="226" t="str">
        <f t="shared" si="7"/>
        <v/>
      </c>
      <c r="DV13" s="227"/>
      <c r="DW13" s="227"/>
      <c r="DY13" s="5"/>
      <c r="ED13" s="6"/>
      <c r="EE13" s="5"/>
      <c r="EJ13" s="6"/>
      <c r="EN13" s="66">
        <v>2</v>
      </c>
      <c r="EO13" s="53">
        <f>'2.自重'!$BW33</f>
        <v>2</v>
      </c>
      <c r="EP13" s="240" t="str">
        <f t="shared" si="8"/>
        <v>段目</v>
      </c>
      <c r="EQ13" s="241"/>
      <c r="ER13" s="170">
        <v>0</v>
      </c>
      <c r="ES13" s="171"/>
      <c r="ET13" s="172"/>
      <c r="EU13" s="170">
        <f>MAX('2.自重'!$CC33:$CK33)</f>
        <v>0.75</v>
      </c>
      <c r="EV13" s="171"/>
      <c r="EW13" s="172"/>
      <c r="EX13" s="226">
        <f>IF(SUM(ER13:EW13)=0,"",SUM(ER13:EW13))</f>
        <v>0.75</v>
      </c>
      <c r="EY13" s="227"/>
      <c r="EZ13" s="227"/>
      <c r="FA13" s="278">
        <f>IF(('1.設計条件'!$BG$6+1)&gt;=EN13, '2.浮力'!$AT35, "")</f>
        <v>0.75</v>
      </c>
      <c r="FB13" s="258"/>
      <c r="FC13" s="279"/>
      <c r="FD13" s="226">
        <f t="shared" si="9"/>
        <v>0.75</v>
      </c>
      <c r="FE13" s="227"/>
      <c r="FF13" s="227"/>
      <c r="FH13" s="5"/>
      <c r="FM13" s="6"/>
      <c r="FN13" s="5"/>
      <c r="FS13" s="6"/>
      <c r="FW13" s="66">
        <v>2</v>
      </c>
      <c r="FX13" s="53">
        <f>'2.自重'!$BW33</f>
        <v>2</v>
      </c>
      <c r="FY13" s="240" t="str">
        <f t="shared" si="10"/>
        <v>段目</v>
      </c>
      <c r="FZ13" s="241"/>
      <c r="GA13" s="170">
        <f>IF(FX13&lt;&gt;"",'2.自重'!$BO$9*(FW13-1),"")</f>
        <v>0.4</v>
      </c>
      <c r="GB13" s="171"/>
      <c r="GC13" s="172"/>
      <c r="GD13" s="170">
        <f>MAX('2.自重'!$CC33:$CK33)</f>
        <v>0.75</v>
      </c>
      <c r="GE13" s="171"/>
      <c r="GF13" s="172"/>
      <c r="GG13" s="226">
        <f t="shared" si="11"/>
        <v>1.1499999999999999</v>
      </c>
      <c r="GH13" s="227"/>
      <c r="GI13" s="227"/>
      <c r="GJ13" s="278">
        <f>IF(('1.設計条件'!$BG$6+1)&gt;=FW13, '2.浮力'!$AT35, "")</f>
        <v>0.75</v>
      </c>
      <c r="GK13" s="258"/>
      <c r="GL13" s="279"/>
      <c r="GM13" s="226">
        <f t="shared" si="12"/>
        <v>1.1499999999999999</v>
      </c>
      <c r="GN13" s="227"/>
      <c r="GO13" s="227"/>
      <c r="GQ13" s="5"/>
      <c r="GV13" s="6"/>
      <c r="GW13" s="5"/>
      <c r="HB13" s="6"/>
    </row>
    <row r="14" spans="2:210">
      <c r="D14" s="66">
        <v>1</v>
      </c>
      <c r="E14" s="53"/>
      <c r="F14" s="240"/>
      <c r="G14" s="241"/>
      <c r="H14" s="170"/>
      <c r="I14" s="171"/>
      <c r="J14" s="172"/>
      <c r="K14" s="170"/>
      <c r="L14" s="171"/>
      <c r="M14" s="172"/>
      <c r="N14" s="226"/>
      <c r="O14" s="227"/>
      <c r="P14" s="227"/>
      <c r="Q14" s="170"/>
      <c r="R14" s="171"/>
      <c r="S14" s="172"/>
      <c r="T14" s="226" t="str">
        <f t="shared" si="1"/>
        <v/>
      </c>
      <c r="U14" s="227"/>
      <c r="V14" s="227"/>
      <c r="X14" s="5"/>
      <c r="AC14" s="6"/>
      <c r="AD14" s="5"/>
      <c r="AI14" s="6"/>
      <c r="AM14" s="66">
        <v>1</v>
      </c>
      <c r="AN14" s="53"/>
      <c r="AO14" s="240"/>
      <c r="AP14" s="241"/>
      <c r="AQ14" s="170"/>
      <c r="AR14" s="171"/>
      <c r="AS14" s="171"/>
      <c r="AT14" s="170"/>
      <c r="AU14" s="171"/>
      <c r="AV14" s="172"/>
      <c r="AW14" s="226"/>
      <c r="AX14" s="227"/>
      <c r="AY14" s="227"/>
      <c r="AZ14" s="170"/>
      <c r="BA14" s="171"/>
      <c r="BB14" s="172"/>
      <c r="BC14" s="226" t="str">
        <f t="shared" si="3"/>
        <v/>
      </c>
      <c r="BD14" s="227"/>
      <c r="BE14" s="227"/>
      <c r="BG14" s="5"/>
      <c r="BL14" s="6"/>
      <c r="BM14" s="5"/>
      <c r="BR14" s="6"/>
      <c r="BV14" s="66">
        <v>1</v>
      </c>
      <c r="BW14" s="53"/>
      <c r="BX14" s="240"/>
      <c r="BY14" s="241"/>
      <c r="BZ14" s="170"/>
      <c r="CA14" s="171"/>
      <c r="CB14" s="171"/>
      <c r="CC14" s="170"/>
      <c r="CD14" s="171"/>
      <c r="CE14" s="172"/>
      <c r="CF14" s="172"/>
      <c r="CG14" s="227"/>
      <c r="CH14" s="227"/>
      <c r="CI14" s="170"/>
      <c r="CJ14" s="171"/>
      <c r="CK14" s="172"/>
      <c r="CL14" s="226" t="str">
        <f t="shared" si="5"/>
        <v/>
      </c>
      <c r="CM14" s="227"/>
      <c r="CN14" s="227"/>
      <c r="CP14" s="5"/>
      <c r="CU14" s="6"/>
      <c r="CV14" s="5"/>
      <c r="DA14" s="6"/>
      <c r="DE14" s="66">
        <v>1</v>
      </c>
      <c r="DF14" s="53"/>
      <c r="DG14" s="240"/>
      <c r="DH14" s="241"/>
      <c r="DI14" s="170"/>
      <c r="DJ14" s="171"/>
      <c r="DK14" s="171"/>
      <c r="DL14" s="170"/>
      <c r="DM14" s="171"/>
      <c r="DN14" s="172"/>
      <c r="DO14" s="172"/>
      <c r="DP14" s="227"/>
      <c r="DQ14" s="227"/>
      <c r="DR14" s="170"/>
      <c r="DS14" s="171"/>
      <c r="DT14" s="172"/>
      <c r="DU14" s="226" t="str">
        <f t="shared" si="7"/>
        <v/>
      </c>
      <c r="DV14" s="227"/>
      <c r="DW14" s="227"/>
      <c r="DY14" s="5"/>
      <c r="ED14" s="6"/>
      <c r="EE14" s="5"/>
      <c r="EJ14" s="6"/>
      <c r="EN14" s="66">
        <v>1</v>
      </c>
      <c r="EO14" s="53"/>
      <c r="EP14" s="240"/>
      <c r="EQ14" s="241"/>
      <c r="ER14" s="170"/>
      <c r="ES14" s="171"/>
      <c r="ET14" s="172"/>
      <c r="EU14" s="170"/>
      <c r="EV14" s="171"/>
      <c r="EW14" s="172"/>
      <c r="EX14" s="226"/>
      <c r="EY14" s="227"/>
      <c r="EZ14" s="227"/>
      <c r="FA14" s="170"/>
      <c r="FB14" s="171"/>
      <c r="FC14" s="172"/>
      <c r="FD14" s="226" t="str">
        <f t="shared" si="9"/>
        <v/>
      </c>
      <c r="FE14" s="227"/>
      <c r="FF14" s="227"/>
      <c r="FH14" s="5"/>
      <c r="FM14" s="6"/>
      <c r="FN14" s="5"/>
      <c r="FS14" s="6"/>
      <c r="FW14" s="66">
        <v>1</v>
      </c>
      <c r="FX14" s="53">
        <f>'2.自重'!$BW34</f>
        <v>1</v>
      </c>
      <c r="FY14" s="240" t="str">
        <f t="shared" si="10"/>
        <v>段目</v>
      </c>
      <c r="FZ14" s="241"/>
      <c r="GA14" s="170">
        <v>0</v>
      </c>
      <c r="GB14" s="171"/>
      <c r="GC14" s="172"/>
      <c r="GD14" s="170">
        <f>MAX('2.自重'!$CC34:$CK34)</f>
        <v>0.75</v>
      </c>
      <c r="GE14" s="171"/>
      <c r="GF14" s="172"/>
      <c r="GG14" s="226">
        <f t="shared" si="11"/>
        <v>0.75</v>
      </c>
      <c r="GH14" s="227"/>
      <c r="GI14" s="227"/>
      <c r="GJ14" s="278">
        <f>IF(('1.設計条件'!$BG$6+1)&gt;=FW14, '2.浮力'!$AT36, "")</f>
        <v>0.75</v>
      </c>
      <c r="GK14" s="258"/>
      <c r="GL14" s="279"/>
      <c r="GM14" s="226">
        <f t="shared" si="12"/>
        <v>0.75</v>
      </c>
      <c r="GN14" s="227"/>
      <c r="GO14" s="227"/>
      <c r="GQ14" s="5"/>
      <c r="GV14" s="6"/>
      <c r="GW14" s="5"/>
      <c r="HB14" s="6"/>
    </row>
    <row r="15" spans="2:210">
      <c r="X15" s="7"/>
      <c r="Y15" s="10"/>
      <c r="Z15" s="10"/>
      <c r="AA15" s="10"/>
      <c r="AB15" s="10"/>
      <c r="AC15" s="8"/>
      <c r="AD15" s="7"/>
      <c r="AE15" s="10"/>
      <c r="AF15" s="10"/>
      <c r="AG15" s="10"/>
      <c r="AH15" s="10"/>
      <c r="AI15" s="8"/>
      <c r="BG15" s="7"/>
      <c r="BH15" s="10"/>
      <c r="BI15" s="10"/>
      <c r="BJ15" s="10"/>
      <c r="BK15" s="10"/>
      <c r="BL15" s="8"/>
      <c r="BM15" s="7"/>
      <c r="BN15" s="10"/>
      <c r="BO15" s="10"/>
      <c r="BP15" s="10"/>
      <c r="BQ15" s="10"/>
      <c r="BR15" s="8"/>
      <c r="CP15" s="7"/>
      <c r="CQ15" s="10"/>
      <c r="CR15" s="10"/>
      <c r="CS15" s="10"/>
      <c r="CT15" s="10"/>
      <c r="CU15" s="8"/>
      <c r="CV15" s="7"/>
      <c r="CW15" s="10"/>
      <c r="CX15" s="10"/>
      <c r="CY15" s="10"/>
      <c r="CZ15" s="10"/>
      <c r="DA15" s="8"/>
      <c r="DY15" s="7"/>
      <c r="DZ15" s="10"/>
      <c r="EA15" s="10"/>
      <c r="EB15" s="10"/>
      <c r="EC15" s="10"/>
      <c r="ED15" s="8"/>
      <c r="EE15" s="7"/>
      <c r="EF15" s="10"/>
      <c r="EG15" s="10"/>
      <c r="EH15" s="10"/>
      <c r="EI15" s="10"/>
      <c r="EJ15" s="8"/>
      <c r="FH15" s="7"/>
      <c r="FI15" s="10"/>
      <c r="FJ15" s="10"/>
      <c r="FK15" s="10"/>
      <c r="FL15" s="10"/>
      <c r="FM15" s="8"/>
      <c r="FN15" s="7"/>
      <c r="FO15" s="10"/>
      <c r="FP15" s="10"/>
      <c r="FQ15" s="10"/>
      <c r="FR15" s="10"/>
      <c r="FS15" s="8"/>
      <c r="GQ15" s="7"/>
      <c r="GR15" s="10"/>
      <c r="GS15" s="10"/>
      <c r="GT15" s="10"/>
      <c r="GU15" s="10"/>
      <c r="GV15" s="8"/>
      <c r="GW15" s="7"/>
      <c r="GX15" s="10"/>
      <c r="GY15" s="10"/>
      <c r="GZ15" s="10"/>
      <c r="HA15" s="10"/>
      <c r="HB15" s="8"/>
    </row>
    <row r="16" spans="2:210">
      <c r="Z16" t="s">
        <v>524</v>
      </c>
      <c r="AF16" t="s">
        <v>525</v>
      </c>
      <c r="BI16" t="s">
        <v>524</v>
      </c>
      <c r="BO16" t="s">
        <v>525</v>
      </c>
      <c r="CR16" t="s">
        <v>524</v>
      </c>
      <c r="CX16" t="s">
        <v>525</v>
      </c>
      <c r="EA16" t="s">
        <v>524</v>
      </c>
      <c r="EG16" t="s">
        <v>525</v>
      </c>
      <c r="FJ16" t="s">
        <v>524</v>
      </c>
      <c r="FP16" t="s">
        <v>525</v>
      </c>
      <c r="GS16" t="s">
        <v>524</v>
      </c>
      <c r="GY16" t="s">
        <v>525</v>
      </c>
    </row>
    <row r="18" spans="4:205">
      <c r="D18" t="s">
        <v>449</v>
      </c>
      <c r="AM18" t="s">
        <v>449</v>
      </c>
      <c r="BV18" t="s">
        <v>449</v>
      </c>
      <c r="DE18" t="s">
        <v>449</v>
      </c>
      <c r="EN18" t="s">
        <v>449</v>
      </c>
      <c r="FW18" t="s">
        <v>449</v>
      </c>
    </row>
    <row r="20" spans="4:205">
      <c r="K20" s="333" t="s">
        <v>94</v>
      </c>
      <c r="L20" s="334"/>
      <c r="M20" s="334"/>
      <c r="N20" s="335" t="s">
        <v>95</v>
      </c>
      <c r="O20" s="334"/>
      <c r="P20" s="334"/>
      <c r="Q20" s="128" t="s">
        <v>96</v>
      </c>
      <c r="R20" s="129"/>
      <c r="S20" s="129"/>
      <c r="T20" s="129"/>
      <c r="U20" s="129"/>
      <c r="V20" s="130"/>
      <c r="W20" s="128" t="s">
        <v>97</v>
      </c>
      <c r="X20" s="129"/>
      <c r="Y20" s="129"/>
      <c r="Z20" s="129"/>
      <c r="AA20" s="129"/>
      <c r="AB20" s="129"/>
      <c r="AC20" s="129"/>
      <c r="AD20" s="130"/>
      <c r="AT20" s="333" t="s">
        <v>94</v>
      </c>
      <c r="AU20" s="334"/>
      <c r="AV20" s="334"/>
      <c r="AW20" s="335" t="s">
        <v>95</v>
      </c>
      <c r="AX20" s="334"/>
      <c r="AY20" s="334"/>
      <c r="AZ20" s="128" t="s">
        <v>96</v>
      </c>
      <c r="BA20" s="129"/>
      <c r="BB20" s="129"/>
      <c r="BC20" s="129"/>
      <c r="BD20" s="129"/>
      <c r="BE20" s="130"/>
      <c r="BF20" s="128" t="s">
        <v>97</v>
      </c>
      <c r="BG20" s="129"/>
      <c r="BH20" s="129"/>
      <c r="BI20" s="129"/>
      <c r="BJ20" s="129"/>
      <c r="BK20" s="129"/>
      <c r="BL20" s="129"/>
      <c r="BM20" s="130"/>
      <c r="CC20" s="333" t="s">
        <v>94</v>
      </c>
      <c r="CD20" s="334"/>
      <c r="CE20" s="334"/>
      <c r="CF20" s="335" t="s">
        <v>95</v>
      </c>
      <c r="CG20" s="334"/>
      <c r="CH20" s="334"/>
      <c r="CI20" s="128" t="s">
        <v>96</v>
      </c>
      <c r="CJ20" s="129"/>
      <c r="CK20" s="129"/>
      <c r="CL20" s="129"/>
      <c r="CM20" s="129"/>
      <c r="CN20" s="130"/>
      <c r="CO20" s="128" t="s">
        <v>97</v>
      </c>
      <c r="CP20" s="129"/>
      <c r="CQ20" s="129"/>
      <c r="CR20" s="129"/>
      <c r="CS20" s="129"/>
      <c r="CT20" s="129"/>
      <c r="CU20" s="129"/>
      <c r="CV20" s="130"/>
      <c r="DL20" s="333" t="s">
        <v>94</v>
      </c>
      <c r="DM20" s="334"/>
      <c r="DN20" s="334"/>
      <c r="DO20" s="335" t="s">
        <v>95</v>
      </c>
      <c r="DP20" s="334"/>
      <c r="DQ20" s="334"/>
      <c r="DR20" s="128" t="s">
        <v>96</v>
      </c>
      <c r="DS20" s="129"/>
      <c r="DT20" s="129"/>
      <c r="DU20" s="129"/>
      <c r="DV20" s="129"/>
      <c r="DW20" s="130"/>
      <c r="DX20" s="128" t="s">
        <v>97</v>
      </c>
      <c r="DY20" s="129"/>
      <c r="DZ20" s="129"/>
      <c r="EA20" s="129"/>
      <c r="EB20" s="129"/>
      <c r="EC20" s="129"/>
      <c r="ED20" s="129"/>
      <c r="EE20" s="130"/>
      <c r="EU20" s="333" t="s">
        <v>94</v>
      </c>
      <c r="EV20" s="334"/>
      <c r="EW20" s="334"/>
      <c r="EX20" s="335" t="s">
        <v>95</v>
      </c>
      <c r="EY20" s="334"/>
      <c r="EZ20" s="334"/>
      <c r="FA20" s="128" t="s">
        <v>96</v>
      </c>
      <c r="FB20" s="129"/>
      <c r="FC20" s="129"/>
      <c r="FD20" s="129"/>
      <c r="FE20" s="129"/>
      <c r="FF20" s="130"/>
      <c r="FG20" s="128" t="s">
        <v>97</v>
      </c>
      <c r="FH20" s="129"/>
      <c r="FI20" s="129"/>
      <c r="FJ20" s="129"/>
      <c r="FK20" s="129"/>
      <c r="FL20" s="129"/>
      <c r="FM20" s="129"/>
      <c r="FN20" s="130"/>
      <c r="GD20" s="333" t="s">
        <v>94</v>
      </c>
      <c r="GE20" s="334"/>
      <c r="GF20" s="334"/>
      <c r="GG20" s="335" t="s">
        <v>95</v>
      </c>
      <c r="GH20" s="334"/>
      <c r="GI20" s="334"/>
      <c r="GJ20" s="128" t="s">
        <v>96</v>
      </c>
      <c r="GK20" s="129"/>
      <c r="GL20" s="129"/>
      <c r="GM20" s="129"/>
      <c r="GN20" s="129"/>
      <c r="GO20" s="130"/>
      <c r="GP20" s="128" t="s">
        <v>97</v>
      </c>
      <c r="GQ20" s="129"/>
      <c r="GR20" s="129"/>
      <c r="GS20" s="129"/>
      <c r="GT20" s="129"/>
      <c r="GU20" s="129"/>
      <c r="GV20" s="129"/>
      <c r="GW20" s="130"/>
    </row>
    <row r="21" spans="4:205">
      <c r="K21" s="348" t="s">
        <v>98</v>
      </c>
      <c r="L21" s="332"/>
      <c r="M21" s="332"/>
      <c r="N21" s="331" t="s">
        <v>89</v>
      </c>
      <c r="O21" s="332"/>
      <c r="P21" s="332"/>
      <c r="Q21" s="331" t="s">
        <v>99</v>
      </c>
      <c r="R21" s="332"/>
      <c r="S21" s="332"/>
      <c r="T21" s="331" t="s">
        <v>100</v>
      </c>
      <c r="U21" s="332"/>
      <c r="V21" s="332"/>
      <c r="W21" s="331" t="s">
        <v>158</v>
      </c>
      <c r="X21" s="332"/>
      <c r="Y21" s="332"/>
      <c r="Z21" s="332"/>
      <c r="AA21" s="331" t="s">
        <v>159</v>
      </c>
      <c r="AB21" s="332"/>
      <c r="AC21" s="332"/>
      <c r="AD21" s="336"/>
      <c r="AT21" s="348" t="s">
        <v>98</v>
      </c>
      <c r="AU21" s="332"/>
      <c r="AV21" s="332"/>
      <c r="AW21" s="331" t="s">
        <v>89</v>
      </c>
      <c r="AX21" s="332"/>
      <c r="AY21" s="332"/>
      <c r="AZ21" s="331" t="s">
        <v>99</v>
      </c>
      <c r="BA21" s="332"/>
      <c r="BB21" s="332"/>
      <c r="BC21" s="331" t="s">
        <v>100</v>
      </c>
      <c r="BD21" s="332"/>
      <c r="BE21" s="332"/>
      <c r="BF21" s="331" t="s">
        <v>158</v>
      </c>
      <c r="BG21" s="332"/>
      <c r="BH21" s="332"/>
      <c r="BI21" s="332"/>
      <c r="BJ21" s="331" t="s">
        <v>159</v>
      </c>
      <c r="BK21" s="332"/>
      <c r="BL21" s="332"/>
      <c r="BM21" s="336"/>
      <c r="CC21" s="348" t="s">
        <v>98</v>
      </c>
      <c r="CD21" s="332"/>
      <c r="CE21" s="332"/>
      <c r="CF21" s="331" t="s">
        <v>89</v>
      </c>
      <c r="CG21" s="332"/>
      <c r="CH21" s="332"/>
      <c r="CI21" s="331" t="s">
        <v>99</v>
      </c>
      <c r="CJ21" s="332"/>
      <c r="CK21" s="332"/>
      <c r="CL21" s="331" t="s">
        <v>100</v>
      </c>
      <c r="CM21" s="332"/>
      <c r="CN21" s="332"/>
      <c r="CO21" s="331" t="s">
        <v>158</v>
      </c>
      <c r="CP21" s="332"/>
      <c r="CQ21" s="332"/>
      <c r="CR21" s="332"/>
      <c r="CS21" s="331" t="s">
        <v>159</v>
      </c>
      <c r="CT21" s="332"/>
      <c r="CU21" s="332"/>
      <c r="CV21" s="336"/>
      <c r="DL21" s="348" t="s">
        <v>98</v>
      </c>
      <c r="DM21" s="332"/>
      <c r="DN21" s="332"/>
      <c r="DO21" s="331" t="s">
        <v>89</v>
      </c>
      <c r="DP21" s="332"/>
      <c r="DQ21" s="332"/>
      <c r="DR21" s="331" t="s">
        <v>99</v>
      </c>
      <c r="DS21" s="332"/>
      <c r="DT21" s="332"/>
      <c r="DU21" s="331" t="s">
        <v>100</v>
      </c>
      <c r="DV21" s="332"/>
      <c r="DW21" s="332"/>
      <c r="DX21" s="331" t="s">
        <v>158</v>
      </c>
      <c r="DY21" s="332"/>
      <c r="DZ21" s="332"/>
      <c r="EA21" s="332"/>
      <c r="EB21" s="331" t="s">
        <v>159</v>
      </c>
      <c r="EC21" s="332"/>
      <c r="ED21" s="332"/>
      <c r="EE21" s="336"/>
      <c r="EU21" s="348" t="s">
        <v>98</v>
      </c>
      <c r="EV21" s="332"/>
      <c r="EW21" s="332"/>
      <c r="EX21" s="331" t="s">
        <v>89</v>
      </c>
      <c r="EY21" s="332"/>
      <c r="EZ21" s="332"/>
      <c r="FA21" s="331" t="s">
        <v>99</v>
      </c>
      <c r="FB21" s="332"/>
      <c r="FC21" s="332"/>
      <c r="FD21" s="331" t="s">
        <v>100</v>
      </c>
      <c r="FE21" s="332"/>
      <c r="FF21" s="332"/>
      <c r="FG21" s="331" t="s">
        <v>158</v>
      </c>
      <c r="FH21" s="332"/>
      <c r="FI21" s="332"/>
      <c r="FJ21" s="332"/>
      <c r="FK21" s="331" t="s">
        <v>159</v>
      </c>
      <c r="FL21" s="332"/>
      <c r="FM21" s="332"/>
      <c r="FN21" s="336"/>
      <c r="GD21" s="348" t="s">
        <v>98</v>
      </c>
      <c r="GE21" s="332"/>
      <c r="GF21" s="332"/>
      <c r="GG21" s="331" t="s">
        <v>89</v>
      </c>
      <c r="GH21" s="332"/>
      <c r="GI21" s="332"/>
      <c r="GJ21" s="331" t="s">
        <v>99</v>
      </c>
      <c r="GK21" s="332"/>
      <c r="GL21" s="332"/>
      <c r="GM21" s="331" t="s">
        <v>100</v>
      </c>
      <c r="GN21" s="332"/>
      <c r="GO21" s="332"/>
      <c r="GP21" s="331" t="s">
        <v>158</v>
      </c>
      <c r="GQ21" s="332"/>
      <c r="GR21" s="332"/>
      <c r="GS21" s="332"/>
      <c r="GT21" s="331" t="s">
        <v>159</v>
      </c>
      <c r="GU21" s="332"/>
      <c r="GV21" s="332"/>
      <c r="GW21" s="336"/>
    </row>
    <row r="22" spans="4:205" ht="18.600000000000001" thickBot="1">
      <c r="K22" s="401" t="s">
        <v>101</v>
      </c>
      <c r="L22" s="140"/>
      <c r="M22" s="140"/>
      <c r="N22" s="399" t="s">
        <v>101</v>
      </c>
      <c r="O22" s="140"/>
      <c r="P22" s="140"/>
      <c r="Q22" s="399" t="s">
        <v>102</v>
      </c>
      <c r="R22" s="140"/>
      <c r="S22" s="140"/>
      <c r="T22" s="399" t="s">
        <v>102</v>
      </c>
      <c r="U22" s="140"/>
      <c r="V22" s="140"/>
      <c r="W22" s="399" t="s">
        <v>436</v>
      </c>
      <c r="X22" s="140"/>
      <c r="Y22" s="140"/>
      <c r="Z22" s="400"/>
      <c r="AA22" s="399" t="s">
        <v>436</v>
      </c>
      <c r="AB22" s="140"/>
      <c r="AC22" s="140"/>
      <c r="AD22" s="400"/>
      <c r="AT22" s="401" t="s">
        <v>101</v>
      </c>
      <c r="AU22" s="140"/>
      <c r="AV22" s="140"/>
      <c r="AW22" s="399" t="s">
        <v>101</v>
      </c>
      <c r="AX22" s="140"/>
      <c r="AY22" s="140"/>
      <c r="AZ22" s="399" t="s">
        <v>102</v>
      </c>
      <c r="BA22" s="140"/>
      <c r="BB22" s="140"/>
      <c r="BC22" s="399" t="s">
        <v>102</v>
      </c>
      <c r="BD22" s="140"/>
      <c r="BE22" s="140"/>
      <c r="BF22" s="399" t="s">
        <v>436</v>
      </c>
      <c r="BG22" s="140"/>
      <c r="BH22" s="140"/>
      <c r="BI22" s="400"/>
      <c r="BJ22" s="399" t="s">
        <v>436</v>
      </c>
      <c r="BK22" s="140"/>
      <c r="BL22" s="140"/>
      <c r="BM22" s="400"/>
      <c r="CC22" s="401" t="s">
        <v>101</v>
      </c>
      <c r="CD22" s="140"/>
      <c r="CE22" s="140"/>
      <c r="CF22" s="399" t="s">
        <v>101</v>
      </c>
      <c r="CG22" s="140"/>
      <c r="CH22" s="140"/>
      <c r="CI22" s="399" t="s">
        <v>102</v>
      </c>
      <c r="CJ22" s="140"/>
      <c r="CK22" s="140"/>
      <c r="CL22" s="399" t="s">
        <v>102</v>
      </c>
      <c r="CM22" s="140"/>
      <c r="CN22" s="140"/>
      <c r="CO22" s="399" t="s">
        <v>436</v>
      </c>
      <c r="CP22" s="140"/>
      <c r="CQ22" s="140"/>
      <c r="CR22" s="400"/>
      <c r="CS22" s="399" t="s">
        <v>436</v>
      </c>
      <c r="CT22" s="140"/>
      <c r="CU22" s="140"/>
      <c r="CV22" s="400"/>
      <c r="DL22" s="401" t="s">
        <v>101</v>
      </c>
      <c r="DM22" s="140"/>
      <c r="DN22" s="140"/>
      <c r="DO22" s="399" t="s">
        <v>101</v>
      </c>
      <c r="DP22" s="140"/>
      <c r="DQ22" s="140"/>
      <c r="DR22" s="399" t="s">
        <v>102</v>
      </c>
      <c r="DS22" s="140"/>
      <c r="DT22" s="140"/>
      <c r="DU22" s="399" t="s">
        <v>102</v>
      </c>
      <c r="DV22" s="140"/>
      <c r="DW22" s="140"/>
      <c r="DX22" s="399" t="s">
        <v>436</v>
      </c>
      <c r="DY22" s="140"/>
      <c r="DZ22" s="140"/>
      <c r="EA22" s="400"/>
      <c r="EB22" s="399" t="s">
        <v>436</v>
      </c>
      <c r="EC22" s="140"/>
      <c r="ED22" s="140"/>
      <c r="EE22" s="400"/>
      <c r="EU22" s="401" t="s">
        <v>101</v>
      </c>
      <c r="EV22" s="140"/>
      <c r="EW22" s="140"/>
      <c r="EX22" s="399" t="s">
        <v>101</v>
      </c>
      <c r="EY22" s="140"/>
      <c r="EZ22" s="140"/>
      <c r="FA22" s="399" t="s">
        <v>102</v>
      </c>
      <c r="FB22" s="140"/>
      <c r="FC22" s="140"/>
      <c r="FD22" s="399" t="s">
        <v>102</v>
      </c>
      <c r="FE22" s="140"/>
      <c r="FF22" s="140"/>
      <c r="FG22" s="399" t="s">
        <v>436</v>
      </c>
      <c r="FH22" s="140"/>
      <c r="FI22" s="140"/>
      <c r="FJ22" s="400"/>
      <c r="FK22" s="399" t="s">
        <v>436</v>
      </c>
      <c r="FL22" s="140"/>
      <c r="FM22" s="140"/>
      <c r="FN22" s="400"/>
      <c r="GD22" s="401" t="s">
        <v>101</v>
      </c>
      <c r="GE22" s="140"/>
      <c r="GF22" s="140"/>
      <c r="GG22" s="399" t="s">
        <v>101</v>
      </c>
      <c r="GH22" s="140"/>
      <c r="GI22" s="140"/>
      <c r="GJ22" s="399" t="s">
        <v>102</v>
      </c>
      <c r="GK22" s="140"/>
      <c r="GL22" s="140"/>
      <c r="GM22" s="399" t="s">
        <v>102</v>
      </c>
      <c r="GN22" s="140"/>
      <c r="GO22" s="140"/>
      <c r="GP22" s="399" t="s">
        <v>436</v>
      </c>
      <c r="GQ22" s="140"/>
      <c r="GR22" s="140"/>
      <c r="GS22" s="400"/>
      <c r="GT22" s="399" t="s">
        <v>436</v>
      </c>
      <c r="GU22" s="140"/>
      <c r="GV22" s="140"/>
      <c r="GW22" s="400"/>
    </row>
    <row r="23" spans="4:205">
      <c r="E23" s="80" t="s">
        <v>242</v>
      </c>
      <c r="F23" s="81"/>
      <c r="G23" s="82"/>
      <c r="H23" s="81">
        <f>'3.照査'!$F$7</f>
        <v>6</v>
      </c>
      <c r="I23" s="402" t="str">
        <f>'3.照査'!$G$7</f>
        <v>段目</v>
      </c>
      <c r="J23" s="402"/>
      <c r="K23" s="403">
        <f>'3.照査'!$I$7</f>
        <v>20.239999999999995</v>
      </c>
      <c r="L23" s="404"/>
      <c r="M23" s="405"/>
      <c r="N23" s="404"/>
      <c r="O23" s="404"/>
      <c r="P23" s="404"/>
      <c r="Q23" s="403">
        <f>N9</f>
        <v>0.71000000000000008</v>
      </c>
      <c r="R23" s="404"/>
      <c r="S23" s="405"/>
      <c r="T23" s="404"/>
      <c r="U23" s="404"/>
      <c r="V23" s="404"/>
      <c r="W23" s="403">
        <f>K23*Q23</f>
        <v>14.370399999999998</v>
      </c>
      <c r="X23" s="404"/>
      <c r="Y23" s="404"/>
      <c r="Z23" s="405"/>
      <c r="AA23" s="403"/>
      <c r="AB23" s="404"/>
      <c r="AC23" s="404"/>
      <c r="AD23" s="409"/>
      <c r="AN23" s="80" t="s">
        <v>242</v>
      </c>
      <c r="AO23" s="81"/>
      <c r="AP23" s="82"/>
      <c r="AQ23" s="81">
        <f>'3.照査'!$F$7</f>
        <v>6</v>
      </c>
      <c r="AR23" s="402" t="str">
        <f>'3.照査'!$G$7</f>
        <v>段目</v>
      </c>
      <c r="AS23" s="402"/>
      <c r="AT23" s="403">
        <f>'3.照査'!$I$7</f>
        <v>20.239999999999995</v>
      </c>
      <c r="AU23" s="404"/>
      <c r="AV23" s="405"/>
      <c r="AW23" s="404"/>
      <c r="AX23" s="404"/>
      <c r="AY23" s="404"/>
      <c r="AZ23" s="403">
        <f>AW9</f>
        <v>1.1100000000000001</v>
      </c>
      <c r="BA23" s="404"/>
      <c r="BB23" s="405"/>
      <c r="BC23" s="404"/>
      <c r="BD23" s="404"/>
      <c r="BE23" s="404"/>
      <c r="BF23" s="403">
        <f>AT23*AZ23</f>
        <v>22.466399999999997</v>
      </c>
      <c r="BG23" s="404"/>
      <c r="BH23" s="404"/>
      <c r="BI23" s="405"/>
      <c r="BJ23" s="403"/>
      <c r="BK23" s="404"/>
      <c r="BL23" s="404"/>
      <c r="BM23" s="409"/>
      <c r="BW23" s="80" t="s">
        <v>242</v>
      </c>
      <c r="BX23" s="81"/>
      <c r="BY23" s="82"/>
      <c r="BZ23" s="81">
        <f>'3.照査'!$F$7</f>
        <v>6</v>
      </c>
      <c r="CA23" s="402" t="str">
        <f>'3.照査'!$G$7</f>
        <v>段目</v>
      </c>
      <c r="CB23" s="402"/>
      <c r="CC23" s="403">
        <f>'3.照査'!$I$7</f>
        <v>20.239999999999995</v>
      </c>
      <c r="CD23" s="404"/>
      <c r="CE23" s="405"/>
      <c r="CF23" s="404"/>
      <c r="CG23" s="404"/>
      <c r="CH23" s="404"/>
      <c r="CI23" s="403">
        <f>CF9</f>
        <v>1.5100000000000002</v>
      </c>
      <c r="CJ23" s="404"/>
      <c r="CK23" s="405"/>
      <c r="CL23" s="404"/>
      <c r="CM23" s="404"/>
      <c r="CN23" s="404"/>
      <c r="CO23" s="403">
        <f>CC23*CI23</f>
        <v>30.562399999999997</v>
      </c>
      <c r="CP23" s="404"/>
      <c r="CQ23" s="404"/>
      <c r="CR23" s="405"/>
      <c r="CS23" s="403"/>
      <c r="CT23" s="404"/>
      <c r="CU23" s="404"/>
      <c r="CV23" s="409"/>
      <c r="DF23" s="80" t="s">
        <v>242</v>
      </c>
      <c r="DG23" s="81"/>
      <c r="DH23" s="82"/>
      <c r="DI23" s="81">
        <f>'3.照査'!$F$7</f>
        <v>6</v>
      </c>
      <c r="DJ23" s="402" t="str">
        <f>'3.照査'!$G$7</f>
        <v>段目</v>
      </c>
      <c r="DK23" s="402"/>
      <c r="DL23" s="403">
        <f>'3.照査'!$I$7</f>
        <v>20.239999999999995</v>
      </c>
      <c r="DM23" s="404"/>
      <c r="DN23" s="405"/>
      <c r="DO23" s="404"/>
      <c r="DP23" s="404"/>
      <c r="DQ23" s="404"/>
      <c r="DR23" s="403">
        <f>DO9</f>
        <v>1.9100000000000001</v>
      </c>
      <c r="DS23" s="404"/>
      <c r="DT23" s="405"/>
      <c r="DU23" s="404"/>
      <c r="DV23" s="404"/>
      <c r="DW23" s="404"/>
      <c r="DX23" s="403">
        <f>DL23*DR23</f>
        <v>38.658399999999993</v>
      </c>
      <c r="DY23" s="404"/>
      <c r="DZ23" s="404"/>
      <c r="EA23" s="405"/>
      <c r="EB23" s="403"/>
      <c r="EC23" s="404"/>
      <c r="ED23" s="404"/>
      <c r="EE23" s="409"/>
      <c r="EO23" s="80" t="s">
        <v>242</v>
      </c>
      <c r="EP23" s="81"/>
      <c r="EQ23" s="82"/>
      <c r="ER23" s="81">
        <f>'3.照査'!$F7</f>
        <v>6</v>
      </c>
      <c r="ES23" s="402" t="str">
        <f>'3.照査'!$G7</f>
        <v>段目</v>
      </c>
      <c r="ET23" s="402"/>
      <c r="EU23" s="403">
        <f>'3.照査'!$I$7</f>
        <v>20.239999999999995</v>
      </c>
      <c r="EV23" s="404"/>
      <c r="EW23" s="405"/>
      <c r="EX23" s="404"/>
      <c r="EY23" s="404"/>
      <c r="EZ23" s="404"/>
      <c r="FA23" s="403">
        <f>EX9</f>
        <v>2.31</v>
      </c>
      <c r="FB23" s="404"/>
      <c r="FC23" s="405"/>
      <c r="FD23" s="404"/>
      <c r="FE23" s="404"/>
      <c r="FF23" s="404"/>
      <c r="FG23" s="403">
        <f>EU23*FA23</f>
        <v>46.75439999999999</v>
      </c>
      <c r="FH23" s="404"/>
      <c r="FI23" s="404"/>
      <c r="FJ23" s="405"/>
      <c r="FK23" s="403"/>
      <c r="FL23" s="404"/>
      <c r="FM23" s="404"/>
      <c r="FN23" s="409"/>
      <c r="FX23" s="80" t="s">
        <v>242</v>
      </c>
      <c r="FY23" s="81"/>
      <c r="FZ23" s="82"/>
      <c r="GA23" s="81">
        <f>'3.照査'!$F$7</f>
        <v>6</v>
      </c>
      <c r="GB23" s="402" t="str">
        <f>'3.照査'!$G$7</f>
        <v>段目</v>
      </c>
      <c r="GC23" s="402"/>
      <c r="GD23" s="403">
        <f>'3.照査'!$I$7</f>
        <v>20.239999999999995</v>
      </c>
      <c r="GE23" s="404"/>
      <c r="GF23" s="405"/>
      <c r="GG23" s="404"/>
      <c r="GH23" s="404"/>
      <c r="GI23" s="404"/>
      <c r="GJ23" s="403">
        <f t="shared" ref="GJ23:GJ28" si="13">GG9</f>
        <v>2.71</v>
      </c>
      <c r="GK23" s="404"/>
      <c r="GL23" s="405"/>
      <c r="GM23" s="404"/>
      <c r="GN23" s="404"/>
      <c r="GO23" s="404"/>
      <c r="GP23" s="403">
        <f>GD23*GJ23</f>
        <v>54.850399999999986</v>
      </c>
      <c r="GQ23" s="404"/>
      <c r="GR23" s="404"/>
      <c r="GS23" s="405"/>
      <c r="GT23" s="403"/>
      <c r="GU23" s="404"/>
      <c r="GV23" s="404"/>
      <c r="GW23" s="409"/>
    </row>
    <row r="24" spans="4:205">
      <c r="E24" s="83"/>
      <c r="G24" s="6"/>
      <c r="I24" s="254"/>
      <c r="J24" s="254"/>
      <c r="K24" s="407"/>
      <c r="L24" s="406"/>
      <c r="M24" s="408"/>
      <c r="N24" s="406"/>
      <c r="O24" s="406"/>
      <c r="P24" s="406"/>
      <c r="Q24" s="407"/>
      <c r="R24" s="406"/>
      <c r="S24" s="408"/>
      <c r="T24" s="406"/>
      <c r="U24" s="406"/>
      <c r="V24" s="406"/>
      <c r="W24" s="407"/>
      <c r="X24" s="406"/>
      <c r="Y24" s="406"/>
      <c r="Z24" s="408"/>
      <c r="AA24" s="407"/>
      <c r="AB24" s="406"/>
      <c r="AC24" s="406"/>
      <c r="AD24" s="410"/>
      <c r="AN24" s="83"/>
      <c r="AP24" s="6"/>
      <c r="AQ24">
        <f>'3.照査'!$F$8</f>
        <v>5</v>
      </c>
      <c r="AR24" s="254" t="str">
        <f>'3.照査'!$G$8</f>
        <v>段目</v>
      </c>
      <c r="AS24" s="254"/>
      <c r="AT24" s="407">
        <f>'3.照査'!$I$8</f>
        <v>25.3</v>
      </c>
      <c r="AU24" s="406"/>
      <c r="AV24" s="408"/>
      <c r="AW24" s="406"/>
      <c r="AX24" s="406"/>
      <c r="AY24" s="406"/>
      <c r="AZ24" s="407">
        <f>AW10</f>
        <v>0.75</v>
      </c>
      <c r="BA24" s="406"/>
      <c r="BB24" s="408"/>
      <c r="BC24" s="406"/>
      <c r="BD24" s="406"/>
      <c r="BE24" s="406"/>
      <c r="BF24" s="407">
        <f>AT24*AZ24</f>
        <v>18.975000000000001</v>
      </c>
      <c r="BG24" s="406"/>
      <c r="BH24" s="406"/>
      <c r="BI24" s="408"/>
      <c r="BJ24" s="407"/>
      <c r="BK24" s="406"/>
      <c r="BL24" s="406"/>
      <c r="BM24" s="410"/>
      <c r="BW24" s="83"/>
      <c r="BY24" s="6"/>
      <c r="BZ24">
        <f>'3.照査'!$F$8</f>
        <v>5</v>
      </c>
      <c r="CA24" s="254" t="str">
        <f>'3.照査'!$G$8</f>
        <v>段目</v>
      </c>
      <c r="CB24" s="254"/>
      <c r="CC24" s="407">
        <f>'3.照査'!$I$8</f>
        <v>25.3</v>
      </c>
      <c r="CD24" s="406"/>
      <c r="CE24" s="408"/>
      <c r="CF24" s="406"/>
      <c r="CG24" s="406"/>
      <c r="CH24" s="406"/>
      <c r="CI24" s="407">
        <f>CF10</f>
        <v>1.1499999999999999</v>
      </c>
      <c r="CJ24" s="406"/>
      <c r="CK24" s="408"/>
      <c r="CL24" s="406"/>
      <c r="CM24" s="406"/>
      <c r="CN24" s="406"/>
      <c r="CO24" s="407">
        <f>CC24*CI24</f>
        <v>29.094999999999999</v>
      </c>
      <c r="CP24" s="406"/>
      <c r="CQ24" s="406"/>
      <c r="CR24" s="408"/>
      <c r="CS24" s="407"/>
      <c r="CT24" s="406"/>
      <c r="CU24" s="406"/>
      <c r="CV24" s="410"/>
      <c r="DF24" s="83"/>
      <c r="DH24" s="6"/>
      <c r="DI24">
        <f>'3.照査'!$F$8</f>
        <v>5</v>
      </c>
      <c r="DJ24" s="254" t="str">
        <f>'3.照査'!$G$8</f>
        <v>段目</v>
      </c>
      <c r="DK24" s="254"/>
      <c r="DL24" s="407">
        <f>'3.照査'!$I$8</f>
        <v>25.3</v>
      </c>
      <c r="DM24" s="406"/>
      <c r="DN24" s="408"/>
      <c r="DO24" s="406"/>
      <c r="DP24" s="406"/>
      <c r="DQ24" s="406"/>
      <c r="DR24" s="407">
        <f>DO10</f>
        <v>1.55</v>
      </c>
      <c r="DS24" s="406"/>
      <c r="DT24" s="408"/>
      <c r="DU24" s="406"/>
      <c r="DV24" s="406"/>
      <c r="DW24" s="406"/>
      <c r="DX24" s="407">
        <f>DL24*DR24</f>
        <v>39.215000000000003</v>
      </c>
      <c r="DY24" s="406"/>
      <c r="DZ24" s="406"/>
      <c r="EA24" s="408"/>
      <c r="EB24" s="407"/>
      <c r="EC24" s="406"/>
      <c r="ED24" s="406"/>
      <c r="EE24" s="410"/>
      <c r="EO24" s="83"/>
      <c r="EQ24" s="6"/>
      <c r="ER24">
        <f>'3.照査'!$F8</f>
        <v>5</v>
      </c>
      <c r="ES24" s="254" t="str">
        <f>'3.照査'!$G8</f>
        <v>段目</v>
      </c>
      <c r="ET24" s="254"/>
      <c r="EU24" s="407">
        <f>'3.照査'!$I$8</f>
        <v>25.3</v>
      </c>
      <c r="EV24" s="406"/>
      <c r="EW24" s="408"/>
      <c r="EX24" s="406"/>
      <c r="EY24" s="406"/>
      <c r="EZ24" s="406"/>
      <c r="FA24" s="407">
        <f>EX10</f>
        <v>1.9500000000000002</v>
      </c>
      <c r="FB24" s="406"/>
      <c r="FC24" s="408"/>
      <c r="FD24" s="406"/>
      <c r="FE24" s="406"/>
      <c r="FF24" s="406"/>
      <c r="FG24" s="407">
        <f>EU24*FA24</f>
        <v>49.335000000000008</v>
      </c>
      <c r="FH24" s="406"/>
      <c r="FI24" s="406"/>
      <c r="FJ24" s="408"/>
      <c r="FK24" s="407"/>
      <c r="FL24" s="406"/>
      <c r="FM24" s="406"/>
      <c r="FN24" s="410"/>
      <c r="FX24" s="83"/>
      <c r="FZ24" s="6"/>
      <c r="GA24">
        <f>'3.照査'!$F$8</f>
        <v>5</v>
      </c>
      <c r="GB24" s="254" t="str">
        <f>'3.照査'!$G$8</f>
        <v>段目</v>
      </c>
      <c r="GC24" s="254"/>
      <c r="GD24" s="407">
        <f>'3.照査'!$I$8</f>
        <v>25.3</v>
      </c>
      <c r="GE24" s="406"/>
      <c r="GF24" s="408"/>
      <c r="GG24" s="406"/>
      <c r="GH24" s="406"/>
      <c r="GI24" s="406"/>
      <c r="GJ24" s="407">
        <f t="shared" si="13"/>
        <v>2.35</v>
      </c>
      <c r="GK24" s="406"/>
      <c r="GL24" s="408"/>
      <c r="GM24" s="406"/>
      <c r="GN24" s="406"/>
      <c r="GO24" s="406"/>
      <c r="GP24" s="407">
        <f>GD24*GJ24</f>
        <v>59.455000000000005</v>
      </c>
      <c r="GQ24" s="406"/>
      <c r="GR24" s="406"/>
      <c r="GS24" s="408"/>
      <c r="GT24" s="407"/>
      <c r="GU24" s="406"/>
      <c r="GV24" s="406"/>
      <c r="GW24" s="410"/>
    </row>
    <row r="25" spans="4:205">
      <c r="E25" s="83"/>
      <c r="G25" s="6"/>
      <c r="I25" s="254"/>
      <c r="J25" s="254"/>
      <c r="K25" s="407"/>
      <c r="L25" s="406"/>
      <c r="M25" s="408"/>
      <c r="N25" s="406"/>
      <c r="O25" s="406"/>
      <c r="P25" s="406"/>
      <c r="Q25" s="407"/>
      <c r="R25" s="406"/>
      <c r="S25" s="408"/>
      <c r="T25" s="406"/>
      <c r="U25" s="406"/>
      <c r="V25" s="406"/>
      <c r="W25" s="407"/>
      <c r="X25" s="406"/>
      <c r="Y25" s="406"/>
      <c r="Z25" s="408"/>
      <c r="AA25" s="407"/>
      <c r="AB25" s="406"/>
      <c r="AC25" s="406"/>
      <c r="AD25" s="410"/>
      <c r="AN25" s="83"/>
      <c r="AP25" s="6"/>
      <c r="AR25" s="254"/>
      <c r="AS25" s="254"/>
      <c r="AT25" s="407"/>
      <c r="AU25" s="406"/>
      <c r="AV25" s="408"/>
      <c r="AW25" s="406"/>
      <c r="AX25" s="406"/>
      <c r="AY25" s="406"/>
      <c r="AZ25" s="407"/>
      <c r="BA25" s="406"/>
      <c r="BB25" s="408"/>
      <c r="BC25" s="406"/>
      <c r="BD25" s="406"/>
      <c r="BE25" s="406"/>
      <c r="BF25" s="407"/>
      <c r="BG25" s="406"/>
      <c r="BH25" s="406"/>
      <c r="BI25" s="408"/>
      <c r="BJ25" s="407"/>
      <c r="BK25" s="406"/>
      <c r="BL25" s="406"/>
      <c r="BM25" s="410"/>
      <c r="BW25" s="83"/>
      <c r="BY25" s="6"/>
      <c r="BZ25">
        <f>'3.照査'!$F$9</f>
        <v>4</v>
      </c>
      <c r="CA25" s="254" t="str">
        <f>'3.照査'!$G$9</f>
        <v>段目</v>
      </c>
      <c r="CB25" s="254"/>
      <c r="CC25" s="407">
        <f>'3.照査'!$I$9</f>
        <v>25.3</v>
      </c>
      <c r="CD25" s="406"/>
      <c r="CE25" s="408"/>
      <c r="CF25" s="406"/>
      <c r="CG25" s="406"/>
      <c r="CH25" s="406"/>
      <c r="CI25" s="407">
        <f>CF11</f>
        <v>0.75</v>
      </c>
      <c r="CJ25" s="406"/>
      <c r="CK25" s="408"/>
      <c r="CL25" s="406"/>
      <c r="CM25" s="406"/>
      <c r="CN25" s="406"/>
      <c r="CO25" s="407">
        <f t="shared" ref="CO25" si="14">CC25*CI25</f>
        <v>18.975000000000001</v>
      </c>
      <c r="CP25" s="406"/>
      <c r="CQ25" s="406"/>
      <c r="CR25" s="408"/>
      <c r="CS25" s="407"/>
      <c r="CT25" s="406"/>
      <c r="CU25" s="406"/>
      <c r="CV25" s="410"/>
      <c r="DF25" s="83"/>
      <c r="DH25" s="6"/>
      <c r="DI25">
        <f>'3.照査'!$F$9</f>
        <v>4</v>
      </c>
      <c r="DJ25" s="254" t="str">
        <f>'3.照査'!$G$9</f>
        <v>段目</v>
      </c>
      <c r="DK25" s="254"/>
      <c r="DL25" s="407">
        <f>'3.照査'!$I$9</f>
        <v>25.3</v>
      </c>
      <c r="DM25" s="406"/>
      <c r="DN25" s="408"/>
      <c r="DO25" s="406"/>
      <c r="DP25" s="406"/>
      <c r="DQ25" s="406"/>
      <c r="DR25" s="407">
        <f>DO11</f>
        <v>1.1499999999999999</v>
      </c>
      <c r="DS25" s="406"/>
      <c r="DT25" s="408"/>
      <c r="DU25" s="406"/>
      <c r="DV25" s="406"/>
      <c r="DW25" s="406"/>
      <c r="DX25" s="407">
        <f t="shared" ref="DX25:DX26" si="15">DL25*DR25</f>
        <v>29.094999999999999</v>
      </c>
      <c r="DY25" s="406"/>
      <c r="DZ25" s="406"/>
      <c r="EA25" s="408"/>
      <c r="EB25" s="407"/>
      <c r="EC25" s="406"/>
      <c r="ED25" s="406"/>
      <c r="EE25" s="410"/>
      <c r="EO25" s="83"/>
      <c r="EQ25" s="6"/>
      <c r="ER25">
        <f>'3.照査'!$F9</f>
        <v>4</v>
      </c>
      <c r="ES25" s="254" t="str">
        <f>'3.照査'!$G9</f>
        <v>段目</v>
      </c>
      <c r="ET25" s="254"/>
      <c r="EU25" s="407">
        <f>'3.照査'!$I$9</f>
        <v>25.3</v>
      </c>
      <c r="EV25" s="406"/>
      <c r="EW25" s="408"/>
      <c r="EX25" s="406"/>
      <c r="EY25" s="406"/>
      <c r="EZ25" s="406"/>
      <c r="FA25" s="407">
        <f>EX11</f>
        <v>1.55</v>
      </c>
      <c r="FB25" s="406"/>
      <c r="FC25" s="408"/>
      <c r="FD25" s="406"/>
      <c r="FE25" s="406"/>
      <c r="FF25" s="406"/>
      <c r="FG25" s="407">
        <f t="shared" ref="FG25:FG27" si="16">EU25*FA25</f>
        <v>39.215000000000003</v>
      </c>
      <c r="FH25" s="406"/>
      <c r="FI25" s="406"/>
      <c r="FJ25" s="408"/>
      <c r="FK25" s="407"/>
      <c r="FL25" s="406"/>
      <c r="FM25" s="406"/>
      <c r="FN25" s="410"/>
      <c r="FX25" s="83"/>
      <c r="FZ25" s="6"/>
      <c r="GA25">
        <f>'3.照査'!$F$9</f>
        <v>4</v>
      </c>
      <c r="GB25" s="254" t="str">
        <f>'3.照査'!$G$9</f>
        <v>段目</v>
      </c>
      <c r="GC25" s="254"/>
      <c r="GD25" s="407">
        <f>'3.照査'!$I$9</f>
        <v>25.3</v>
      </c>
      <c r="GE25" s="406"/>
      <c r="GF25" s="408"/>
      <c r="GG25" s="406"/>
      <c r="GH25" s="406"/>
      <c r="GI25" s="406"/>
      <c r="GJ25" s="407">
        <f t="shared" si="13"/>
        <v>1.9500000000000002</v>
      </c>
      <c r="GK25" s="406"/>
      <c r="GL25" s="408"/>
      <c r="GM25" s="406"/>
      <c r="GN25" s="406"/>
      <c r="GO25" s="406"/>
      <c r="GP25" s="407">
        <f t="shared" ref="GP25:GP27" si="17">GD25*GJ25</f>
        <v>49.335000000000008</v>
      </c>
      <c r="GQ25" s="406"/>
      <c r="GR25" s="406"/>
      <c r="GS25" s="408"/>
      <c r="GT25" s="407"/>
      <c r="GU25" s="406"/>
      <c r="GV25" s="406"/>
      <c r="GW25" s="410"/>
    </row>
    <row r="26" spans="4:205">
      <c r="E26" s="83"/>
      <c r="G26" s="6"/>
      <c r="I26" s="254"/>
      <c r="J26" s="254"/>
      <c r="K26" s="407"/>
      <c r="L26" s="406"/>
      <c r="M26" s="408"/>
      <c r="N26" s="406"/>
      <c r="O26" s="406"/>
      <c r="P26" s="406"/>
      <c r="Q26" s="407"/>
      <c r="R26" s="406"/>
      <c r="S26" s="408"/>
      <c r="T26" s="406"/>
      <c r="U26" s="406"/>
      <c r="V26" s="406"/>
      <c r="W26" s="407"/>
      <c r="X26" s="406"/>
      <c r="Y26" s="406"/>
      <c r="Z26" s="408"/>
      <c r="AA26" s="407"/>
      <c r="AB26" s="406"/>
      <c r="AC26" s="406"/>
      <c r="AD26" s="410"/>
      <c r="AN26" s="83"/>
      <c r="AP26" s="6"/>
      <c r="AR26" s="254"/>
      <c r="AS26" s="254"/>
      <c r="AT26" s="407"/>
      <c r="AU26" s="406"/>
      <c r="AV26" s="408"/>
      <c r="AW26" s="406"/>
      <c r="AX26" s="406"/>
      <c r="AY26" s="406"/>
      <c r="AZ26" s="407"/>
      <c r="BA26" s="406"/>
      <c r="BB26" s="408"/>
      <c r="BC26" s="406"/>
      <c r="BD26" s="406"/>
      <c r="BE26" s="406"/>
      <c r="BF26" s="407"/>
      <c r="BG26" s="406"/>
      <c r="BH26" s="406"/>
      <c r="BI26" s="408"/>
      <c r="BJ26" s="407"/>
      <c r="BK26" s="406"/>
      <c r="BL26" s="406"/>
      <c r="BM26" s="410"/>
      <c r="BW26" s="83"/>
      <c r="BY26" s="6"/>
      <c r="CA26" s="254"/>
      <c r="CB26" s="254"/>
      <c r="CC26" s="407"/>
      <c r="CD26" s="406"/>
      <c r="CE26" s="408"/>
      <c r="CF26" s="406"/>
      <c r="CG26" s="406"/>
      <c r="CH26" s="406"/>
      <c r="CI26" s="407"/>
      <c r="CJ26" s="406"/>
      <c r="CK26" s="408"/>
      <c r="CL26" s="406"/>
      <c r="CM26" s="406"/>
      <c r="CN26" s="406"/>
      <c r="CO26" s="407"/>
      <c r="CP26" s="406"/>
      <c r="CQ26" s="406"/>
      <c r="CR26" s="408"/>
      <c r="CS26" s="407"/>
      <c r="CT26" s="406"/>
      <c r="CU26" s="406"/>
      <c r="CV26" s="410"/>
      <c r="DF26" s="83"/>
      <c r="DH26" s="6"/>
      <c r="DI26">
        <f>'3.照査'!$F$10</f>
        <v>3</v>
      </c>
      <c r="DJ26" s="254" t="str">
        <f>'3.照査'!$G$10</f>
        <v>段目</v>
      </c>
      <c r="DK26" s="254"/>
      <c r="DL26" s="407">
        <f>'3.照査'!$I$10</f>
        <v>25.3</v>
      </c>
      <c r="DM26" s="406"/>
      <c r="DN26" s="408"/>
      <c r="DO26" s="406"/>
      <c r="DP26" s="406"/>
      <c r="DQ26" s="406"/>
      <c r="DR26" s="407">
        <f>DO12</f>
        <v>0.75</v>
      </c>
      <c r="DS26" s="406"/>
      <c r="DT26" s="408"/>
      <c r="DU26" s="406"/>
      <c r="DV26" s="406"/>
      <c r="DW26" s="406"/>
      <c r="DX26" s="407">
        <f t="shared" si="15"/>
        <v>18.975000000000001</v>
      </c>
      <c r="DY26" s="406"/>
      <c r="DZ26" s="406"/>
      <c r="EA26" s="408"/>
      <c r="EB26" s="407"/>
      <c r="EC26" s="406"/>
      <c r="ED26" s="406"/>
      <c r="EE26" s="410"/>
      <c r="EO26" s="83"/>
      <c r="EQ26" s="6"/>
      <c r="ER26">
        <f>'3.照査'!$F10</f>
        <v>3</v>
      </c>
      <c r="ES26" s="254" t="str">
        <f>'3.照査'!$G10</f>
        <v>段目</v>
      </c>
      <c r="ET26" s="254"/>
      <c r="EU26" s="407">
        <f>'3.照査'!$I$10</f>
        <v>25.3</v>
      </c>
      <c r="EV26" s="406"/>
      <c r="EW26" s="408"/>
      <c r="EX26" s="406"/>
      <c r="EY26" s="406"/>
      <c r="EZ26" s="406"/>
      <c r="FA26" s="407">
        <f>EX12</f>
        <v>1.1499999999999999</v>
      </c>
      <c r="FB26" s="406"/>
      <c r="FC26" s="408"/>
      <c r="FD26" s="406"/>
      <c r="FE26" s="406"/>
      <c r="FF26" s="406"/>
      <c r="FG26" s="407">
        <f t="shared" si="16"/>
        <v>29.094999999999999</v>
      </c>
      <c r="FH26" s="406"/>
      <c r="FI26" s="406"/>
      <c r="FJ26" s="408"/>
      <c r="FK26" s="407"/>
      <c r="FL26" s="406"/>
      <c r="FM26" s="406"/>
      <c r="FN26" s="410"/>
      <c r="FX26" s="83"/>
      <c r="FZ26" s="6"/>
      <c r="GA26">
        <f>'3.照査'!$F$10</f>
        <v>3</v>
      </c>
      <c r="GB26" s="254" t="str">
        <f>'3.照査'!$G$10</f>
        <v>段目</v>
      </c>
      <c r="GC26" s="254"/>
      <c r="GD26" s="407">
        <f>'3.照査'!$I$10</f>
        <v>25.3</v>
      </c>
      <c r="GE26" s="406"/>
      <c r="GF26" s="408"/>
      <c r="GG26" s="406"/>
      <c r="GH26" s="406"/>
      <c r="GI26" s="406"/>
      <c r="GJ26" s="407">
        <f t="shared" si="13"/>
        <v>1.55</v>
      </c>
      <c r="GK26" s="406"/>
      <c r="GL26" s="408"/>
      <c r="GM26" s="406"/>
      <c r="GN26" s="406"/>
      <c r="GO26" s="406"/>
      <c r="GP26" s="407">
        <f t="shared" si="17"/>
        <v>39.215000000000003</v>
      </c>
      <c r="GQ26" s="406"/>
      <c r="GR26" s="406"/>
      <c r="GS26" s="408"/>
      <c r="GT26" s="407"/>
      <c r="GU26" s="406"/>
      <c r="GV26" s="406"/>
      <c r="GW26" s="410"/>
    </row>
    <row r="27" spans="4:205">
      <c r="E27" s="83"/>
      <c r="G27" s="6"/>
      <c r="I27" s="254"/>
      <c r="J27" s="254"/>
      <c r="K27" s="407"/>
      <c r="L27" s="406"/>
      <c r="M27" s="408"/>
      <c r="N27" s="406"/>
      <c r="O27" s="406"/>
      <c r="P27" s="406"/>
      <c r="Q27" s="407"/>
      <c r="R27" s="406"/>
      <c r="S27" s="408"/>
      <c r="T27" s="406"/>
      <c r="U27" s="406"/>
      <c r="V27" s="406"/>
      <c r="W27" s="407"/>
      <c r="X27" s="406"/>
      <c r="Y27" s="406"/>
      <c r="Z27" s="408"/>
      <c r="AA27" s="407"/>
      <c r="AB27" s="406"/>
      <c r="AC27" s="406"/>
      <c r="AD27" s="410"/>
      <c r="AN27" s="83"/>
      <c r="AP27" s="6"/>
      <c r="AR27" s="254"/>
      <c r="AS27" s="254"/>
      <c r="AT27" s="407"/>
      <c r="AU27" s="406"/>
      <c r="AV27" s="408"/>
      <c r="AW27" s="406"/>
      <c r="AX27" s="406"/>
      <c r="AY27" s="406"/>
      <c r="AZ27" s="407"/>
      <c r="BA27" s="406"/>
      <c r="BB27" s="408"/>
      <c r="BC27" s="406"/>
      <c r="BD27" s="406"/>
      <c r="BE27" s="406"/>
      <c r="BF27" s="407"/>
      <c r="BG27" s="406"/>
      <c r="BH27" s="406"/>
      <c r="BI27" s="408"/>
      <c r="BJ27" s="407"/>
      <c r="BK27" s="406"/>
      <c r="BL27" s="406"/>
      <c r="BM27" s="410"/>
      <c r="BW27" s="83"/>
      <c r="BY27" s="6"/>
      <c r="CA27" s="254"/>
      <c r="CB27" s="254"/>
      <c r="CC27" s="407"/>
      <c r="CD27" s="406"/>
      <c r="CE27" s="408"/>
      <c r="CF27" s="406"/>
      <c r="CG27" s="406"/>
      <c r="CH27" s="406"/>
      <c r="CI27" s="407"/>
      <c r="CJ27" s="406"/>
      <c r="CK27" s="408"/>
      <c r="CL27" s="406"/>
      <c r="CM27" s="406"/>
      <c r="CN27" s="406"/>
      <c r="CO27" s="407"/>
      <c r="CP27" s="406"/>
      <c r="CQ27" s="406"/>
      <c r="CR27" s="408"/>
      <c r="CS27" s="407"/>
      <c r="CT27" s="406"/>
      <c r="CU27" s="406"/>
      <c r="CV27" s="410"/>
      <c r="DF27" s="83"/>
      <c r="DH27" s="6"/>
      <c r="DJ27" s="254"/>
      <c r="DK27" s="254"/>
      <c r="DL27" s="407"/>
      <c r="DM27" s="406"/>
      <c r="DN27" s="408"/>
      <c r="DO27" s="406"/>
      <c r="DP27" s="406"/>
      <c r="DQ27" s="406"/>
      <c r="DR27" s="407"/>
      <c r="DS27" s="406"/>
      <c r="DT27" s="408"/>
      <c r="DU27" s="406"/>
      <c r="DV27" s="406"/>
      <c r="DW27" s="406"/>
      <c r="DX27" s="407"/>
      <c r="DY27" s="406"/>
      <c r="DZ27" s="406"/>
      <c r="EA27" s="408"/>
      <c r="EB27" s="407"/>
      <c r="EC27" s="406"/>
      <c r="ED27" s="406"/>
      <c r="EE27" s="410"/>
      <c r="EO27" s="83"/>
      <c r="EQ27" s="6"/>
      <c r="ER27">
        <f>'3.照査'!$F11</f>
        <v>2</v>
      </c>
      <c r="ES27" s="254" t="str">
        <f>'3.照査'!$G11</f>
        <v>段目</v>
      </c>
      <c r="ET27" s="254"/>
      <c r="EU27" s="407">
        <f>'3.照査'!$I$11</f>
        <v>25.3</v>
      </c>
      <c r="EV27" s="406"/>
      <c r="EW27" s="408"/>
      <c r="EX27" s="406"/>
      <c r="EY27" s="406"/>
      <c r="EZ27" s="406"/>
      <c r="FA27" s="407">
        <f>EX13</f>
        <v>0.75</v>
      </c>
      <c r="FB27" s="406"/>
      <c r="FC27" s="408"/>
      <c r="FD27" s="406"/>
      <c r="FE27" s="406"/>
      <c r="FF27" s="406"/>
      <c r="FG27" s="407">
        <f t="shared" si="16"/>
        <v>18.975000000000001</v>
      </c>
      <c r="FH27" s="406"/>
      <c r="FI27" s="406"/>
      <c r="FJ27" s="408"/>
      <c r="FK27" s="407"/>
      <c r="FL27" s="406"/>
      <c r="FM27" s="406"/>
      <c r="FN27" s="410"/>
      <c r="FX27" s="83"/>
      <c r="FZ27" s="6"/>
      <c r="GA27">
        <f>'3.照査'!$F$11</f>
        <v>2</v>
      </c>
      <c r="GB27" s="254" t="str">
        <f>'3.照査'!$G$11</f>
        <v>段目</v>
      </c>
      <c r="GC27" s="254"/>
      <c r="GD27" s="407">
        <f>'3.照査'!$I$11</f>
        <v>25.3</v>
      </c>
      <c r="GE27" s="406"/>
      <c r="GF27" s="408"/>
      <c r="GG27" s="406"/>
      <c r="GH27" s="406"/>
      <c r="GI27" s="406"/>
      <c r="GJ27" s="407">
        <f t="shared" si="13"/>
        <v>1.1499999999999999</v>
      </c>
      <c r="GK27" s="406"/>
      <c r="GL27" s="408"/>
      <c r="GM27" s="406"/>
      <c r="GN27" s="406"/>
      <c r="GO27" s="406"/>
      <c r="GP27" s="407">
        <f t="shared" si="17"/>
        <v>29.094999999999999</v>
      </c>
      <c r="GQ27" s="406"/>
      <c r="GR27" s="406"/>
      <c r="GS27" s="408"/>
      <c r="GT27" s="407"/>
      <c r="GU27" s="406"/>
      <c r="GV27" s="406"/>
      <c r="GW27" s="410"/>
    </row>
    <row r="28" spans="4:205">
      <c r="E28" s="111"/>
      <c r="F28" s="10"/>
      <c r="G28" s="8"/>
      <c r="H28" s="10"/>
      <c r="I28" s="138"/>
      <c r="J28" s="138"/>
      <c r="K28" s="396"/>
      <c r="L28" s="394"/>
      <c r="M28" s="397"/>
      <c r="N28" s="394"/>
      <c r="O28" s="394"/>
      <c r="P28" s="394"/>
      <c r="Q28" s="396"/>
      <c r="R28" s="394"/>
      <c r="S28" s="397"/>
      <c r="T28" s="394"/>
      <c r="U28" s="394"/>
      <c r="V28" s="394"/>
      <c r="W28" s="396"/>
      <c r="X28" s="394"/>
      <c r="Y28" s="394"/>
      <c r="Z28" s="397"/>
      <c r="AA28" s="396"/>
      <c r="AB28" s="394"/>
      <c r="AC28" s="394"/>
      <c r="AD28" s="398"/>
      <c r="AN28" s="111"/>
      <c r="AO28" s="10"/>
      <c r="AP28" s="8"/>
      <c r="AQ28" s="10"/>
      <c r="AR28" s="138"/>
      <c r="AS28" s="138"/>
      <c r="AT28" s="396"/>
      <c r="AU28" s="394"/>
      <c r="AV28" s="397"/>
      <c r="AW28" s="394"/>
      <c r="AX28" s="394"/>
      <c r="AY28" s="394"/>
      <c r="AZ28" s="396"/>
      <c r="BA28" s="394"/>
      <c r="BB28" s="397"/>
      <c r="BC28" s="394"/>
      <c r="BD28" s="394"/>
      <c r="BE28" s="394"/>
      <c r="BF28" s="396"/>
      <c r="BG28" s="394"/>
      <c r="BH28" s="394"/>
      <c r="BI28" s="397"/>
      <c r="BJ28" s="396"/>
      <c r="BK28" s="394"/>
      <c r="BL28" s="394"/>
      <c r="BM28" s="398"/>
      <c r="BW28" s="111"/>
      <c r="BX28" s="10"/>
      <c r="BY28" s="8"/>
      <c r="BZ28" s="10"/>
      <c r="CA28" s="138"/>
      <c r="CB28" s="138"/>
      <c r="CC28" s="396"/>
      <c r="CD28" s="394"/>
      <c r="CE28" s="397"/>
      <c r="CF28" s="394"/>
      <c r="CG28" s="394"/>
      <c r="CH28" s="394"/>
      <c r="CI28" s="396"/>
      <c r="CJ28" s="394"/>
      <c r="CK28" s="397"/>
      <c r="CL28" s="394"/>
      <c r="CM28" s="394"/>
      <c r="CN28" s="394"/>
      <c r="CO28" s="396"/>
      <c r="CP28" s="394"/>
      <c r="CQ28" s="394"/>
      <c r="CR28" s="397"/>
      <c r="CS28" s="396"/>
      <c r="CT28" s="394"/>
      <c r="CU28" s="394"/>
      <c r="CV28" s="398"/>
      <c r="DF28" s="111"/>
      <c r="DG28" s="10"/>
      <c r="DH28" s="8"/>
      <c r="DI28" s="10"/>
      <c r="DJ28" s="138"/>
      <c r="DK28" s="139"/>
      <c r="DL28" s="396"/>
      <c r="DM28" s="394"/>
      <c r="DN28" s="397"/>
      <c r="DO28" s="394"/>
      <c r="DP28" s="394"/>
      <c r="DQ28" s="394"/>
      <c r="DR28" s="396"/>
      <c r="DS28" s="394"/>
      <c r="DT28" s="397"/>
      <c r="DU28" s="394"/>
      <c r="DV28" s="394"/>
      <c r="DW28" s="394"/>
      <c r="DX28" s="396"/>
      <c r="DY28" s="394"/>
      <c r="DZ28" s="394"/>
      <c r="EA28" s="397"/>
      <c r="EB28" s="396"/>
      <c r="EC28" s="394"/>
      <c r="ED28" s="394"/>
      <c r="EE28" s="398"/>
      <c r="EO28" s="111"/>
      <c r="EP28" s="10"/>
      <c r="EQ28" s="8"/>
      <c r="ER28" s="10"/>
      <c r="ES28" s="138"/>
      <c r="ET28" s="138"/>
      <c r="EU28" s="396"/>
      <c r="EV28" s="394"/>
      <c r="EW28" s="397"/>
      <c r="EX28" s="394"/>
      <c r="EY28" s="394"/>
      <c r="EZ28" s="394"/>
      <c r="FA28" s="396"/>
      <c r="FB28" s="394"/>
      <c r="FC28" s="397"/>
      <c r="FD28" s="394"/>
      <c r="FE28" s="394"/>
      <c r="FF28" s="394"/>
      <c r="FG28" s="396"/>
      <c r="FH28" s="394"/>
      <c r="FI28" s="394"/>
      <c r="FJ28" s="397"/>
      <c r="FK28" s="396"/>
      <c r="FL28" s="394"/>
      <c r="FM28" s="394"/>
      <c r="FN28" s="398"/>
      <c r="FX28" s="111"/>
      <c r="FY28" s="10"/>
      <c r="FZ28" s="8"/>
      <c r="GA28" s="10">
        <f>'3.照査'!$F$12</f>
        <v>1</v>
      </c>
      <c r="GB28" s="138" t="str">
        <f>'3.照査'!$G$12</f>
        <v>段目</v>
      </c>
      <c r="GC28" s="138"/>
      <c r="GD28" s="396">
        <f>'3.照査'!$I$12</f>
        <v>25.3</v>
      </c>
      <c r="GE28" s="394"/>
      <c r="GF28" s="397"/>
      <c r="GG28" s="394"/>
      <c r="GH28" s="394"/>
      <c r="GI28" s="394"/>
      <c r="GJ28" s="396">
        <f t="shared" si="13"/>
        <v>0.75</v>
      </c>
      <c r="GK28" s="394"/>
      <c r="GL28" s="397"/>
      <c r="GM28" s="394"/>
      <c r="GN28" s="394"/>
      <c r="GO28" s="394"/>
      <c r="GP28" s="396">
        <f>GD28*GJ28</f>
        <v>18.975000000000001</v>
      </c>
      <c r="GQ28" s="394"/>
      <c r="GR28" s="394"/>
      <c r="GS28" s="397"/>
      <c r="GT28" s="396"/>
      <c r="GU28" s="394"/>
      <c r="GV28" s="394"/>
      <c r="GW28" s="398"/>
    </row>
    <row r="29" spans="4:205">
      <c r="E29" s="112" t="s">
        <v>339</v>
      </c>
      <c r="F29" s="54"/>
      <c r="G29" s="54"/>
      <c r="H29" s="54"/>
      <c r="I29" s="54"/>
      <c r="J29" s="54"/>
      <c r="K29" s="396">
        <f>'4-1.部材'!$P$33</f>
        <v>1.8979683478727808E-2</v>
      </c>
      <c r="L29" s="394"/>
      <c r="M29" s="397"/>
      <c r="N29" s="394">
        <f>'4-1.部材'!$S$33</f>
        <v>0.70904096043458975</v>
      </c>
      <c r="O29" s="394"/>
      <c r="P29" s="394"/>
      <c r="Q29" s="396">
        <f>'4-1.部材'!$V$33</f>
        <v>1.2066666666666668</v>
      </c>
      <c r="R29" s="394"/>
      <c r="S29" s="397"/>
      <c r="T29" s="394">
        <f>'4-1.部材'!$Y$33</f>
        <v>0.26666666666666661</v>
      </c>
      <c r="U29" s="394"/>
      <c r="V29" s="394"/>
      <c r="W29" s="396">
        <f>K29*Q29</f>
        <v>2.290215139766489E-2</v>
      </c>
      <c r="X29" s="394"/>
      <c r="Y29" s="394"/>
      <c r="Z29" s="397"/>
      <c r="AA29" s="396">
        <f>N29*T29</f>
        <v>0.1890775894492239</v>
      </c>
      <c r="AB29" s="394"/>
      <c r="AC29" s="394"/>
      <c r="AD29" s="398"/>
      <c r="AN29" s="112" t="s">
        <v>339</v>
      </c>
      <c r="AO29" s="54"/>
      <c r="AP29" s="54"/>
      <c r="AQ29" s="54"/>
      <c r="AR29" s="54"/>
      <c r="AS29" s="54"/>
      <c r="AT29" s="396">
        <f>'4-1.部材'!$P$34</f>
        <v>9.6084647611059559E-2</v>
      </c>
      <c r="AU29" s="394"/>
      <c r="AV29" s="397"/>
      <c r="AW29" s="394">
        <f>'4-1.部材'!$S$34</f>
        <v>3.5895198622001119</v>
      </c>
      <c r="AX29" s="394"/>
      <c r="AY29" s="394"/>
      <c r="AZ29" s="396">
        <f>'4-1.部材'!$V$34</f>
        <v>1.34</v>
      </c>
      <c r="BA29" s="394"/>
      <c r="BB29" s="397"/>
      <c r="BC29" s="394">
        <f>'4-1.部材'!$Y$34</f>
        <v>0.6</v>
      </c>
      <c r="BD29" s="394"/>
      <c r="BE29" s="394"/>
      <c r="BF29" s="396">
        <f>AT29*AZ29</f>
        <v>0.12875342779881982</v>
      </c>
      <c r="BG29" s="394"/>
      <c r="BH29" s="394"/>
      <c r="BI29" s="397"/>
      <c r="BJ29" s="396">
        <f>AW29*BC29</f>
        <v>2.1537119173200669</v>
      </c>
      <c r="BK29" s="394"/>
      <c r="BL29" s="394"/>
      <c r="BM29" s="398"/>
      <c r="BW29" s="112" t="s">
        <v>339</v>
      </c>
      <c r="BX29" s="54"/>
      <c r="BY29" s="54"/>
      <c r="BZ29" s="54"/>
      <c r="CA29" s="54"/>
      <c r="CB29" s="54"/>
      <c r="CC29" s="396">
        <f>'4-1.部材'!$P$35</f>
        <v>0.23250112261441572</v>
      </c>
      <c r="CD29" s="394"/>
      <c r="CE29" s="397"/>
      <c r="CF29" s="394">
        <f>'4-1.部材'!$S$35</f>
        <v>8.6857517653237277</v>
      </c>
      <c r="CG29" s="394"/>
      <c r="CH29" s="394"/>
      <c r="CI29" s="396">
        <f>'4-1.部材'!$V$35</f>
        <v>1.4733333333333334</v>
      </c>
      <c r="CJ29" s="394"/>
      <c r="CK29" s="397"/>
      <c r="CL29" s="394">
        <f>'4-1.部材'!$Y$35</f>
        <v>0.93333333333333324</v>
      </c>
      <c r="CM29" s="394"/>
      <c r="CN29" s="394"/>
      <c r="CO29" s="396">
        <f>CC29*CI29</f>
        <v>0.34255165398523918</v>
      </c>
      <c r="CP29" s="394"/>
      <c r="CQ29" s="394"/>
      <c r="CR29" s="397"/>
      <c r="CS29" s="396">
        <f>CF29*CL29</f>
        <v>8.1067016476354787</v>
      </c>
      <c r="CT29" s="394"/>
      <c r="CU29" s="394"/>
      <c r="CV29" s="398"/>
      <c r="DF29" s="111" t="s">
        <v>339</v>
      </c>
      <c r="DG29" s="10"/>
      <c r="DH29" s="10"/>
      <c r="DI29" s="10"/>
      <c r="DJ29" s="10"/>
      <c r="DK29" s="10"/>
      <c r="DL29" s="396">
        <f>'4-1.部材'!$P$36</f>
        <v>0.42822910848879636</v>
      </c>
      <c r="DM29" s="394"/>
      <c r="DN29" s="397"/>
      <c r="DO29" s="394">
        <f>'4-1.部材'!$S$36</f>
        <v>15.997736669805439</v>
      </c>
      <c r="DP29" s="394"/>
      <c r="DQ29" s="394"/>
      <c r="DR29" s="396">
        <f>'4-1.部材'!$V$36</f>
        <v>1.6066666666666669</v>
      </c>
      <c r="DS29" s="394"/>
      <c r="DT29" s="397"/>
      <c r="DU29" s="394">
        <f>'4-1.部材'!$Y$36</f>
        <v>1.2666666666666666</v>
      </c>
      <c r="DV29" s="394"/>
      <c r="DW29" s="394"/>
      <c r="DX29" s="396">
        <f>DL29*DR29</f>
        <v>0.68802143430533291</v>
      </c>
      <c r="DY29" s="394"/>
      <c r="DZ29" s="394"/>
      <c r="EA29" s="397"/>
      <c r="EB29" s="396">
        <f>DO29*DU29</f>
        <v>20.263799781753555</v>
      </c>
      <c r="EC29" s="394"/>
      <c r="ED29" s="394"/>
      <c r="EE29" s="398"/>
      <c r="EO29" s="112" t="s">
        <v>339</v>
      </c>
      <c r="EP29" s="54"/>
      <c r="EQ29" s="54"/>
      <c r="ER29" s="54"/>
      <c r="ES29" s="54"/>
      <c r="ET29" s="54"/>
      <c r="EU29" s="396">
        <f>'4-1.部材'!$P$37</f>
        <v>0.6832686052342013</v>
      </c>
      <c r="EV29" s="394"/>
      <c r="EW29" s="397"/>
      <c r="EX29" s="394">
        <f>'4-1.部材'!$S$37</f>
        <v>25.525474575645241</v>
      </c>
      <c r="EY29" s="394"/>
      <c r="EZ29" s="394"/>
      <c r="FA29" s="396">
        <f>'4-1.部材'!$V$37</f>
        <v>1.7400000000000002</v>
      </c>
      <c r="FB29" s="394"/>
      <c r="FC29" s="397"/>
      <c r="FD29" s="394">
        <f>'4-1.部材'!$Y$37</f>
        <v>1.5999999999999999</v>
      </c>
      <c r="FE29" s="394"/>
      <c r="FF29" s="394"/>
      <c r="FG29" s="396">
        <f>EU29*FA29</f>
        <v>1.1888873731075105</v>
      </c>
      <c r="FH29" s="394"/>
      <c r="FI29" s="394"/>
      <c r="FJ29" s="397"/>
      <c r="FK29" s="396">
        <f>EX29*FD29</f>
        <v>40.84075932103238</v>
      </c>
      <c r="FL29" s="394"/>
      <c r="FM29" s="394"/>
      <c r="FN29" s="398"/>
      <c r="FX29" s="112" t="s">
        <v>339</v>
      </c>
      <c r="FY29" s="54"/>
      <c r="FZ29" s="54"/>
      <c r="GA29" s="54"/>
      <c r="GB29" s="54"/>
      <c r="GC29" s="54"/>
      <c r="GD29" s="396">
        <f>'4-1.部材'!$P$38</f>
        <v>0.99761961285063072</v>
      </c>
      <c r="GE29" s="394"/>
      <c r="GF29" s="397"/>
      <c r="GG29" s="394">
        <f>'4-1.部材'!$S$38</f>
        <v>37.268965482843143</v>
      </c>
      <c r="GH29" s="394"/>
      <c r="GI29" s="394"/>
      <c r="GJ29" s="396">
        <f>'4-1.部材'!$V$38</f>
        <v>1.8733333333333335</v>
      </c>
      <c r="GK29" s="394"/>
      <c r="GL29" s="397"/>
      <c r="GM29" s="394">
        <f>'4-1.部材'!$Y$38</f>
        <v>1.9333333333333333</v>
      </c>
      <c r="GN29" s="394"/>
      <c r="GO29" s="394"/>
      <c r="GP29" s="396">
        <f>GD29*GJ29</f>
        <v>1.8688740747401817</v>
      </c>
      <c r="GQ29" s="394"/>
      <c r="GR29" s="394"/>
      <c r="GS29" s="397"/>
      <c r="GT29" s="396">
        <f>GG29*GM29</f>
        <v>72.05333326683008</v>
      </c>
      <c r="GU29" s="394"/>
      <c r="GV29" s="394"/>
      <c r="GW29" s="398"/>
    </row>
    <row r="30" spans="4:205">
      <c r="E30" s="118" t="s">
        <v>465</v>
      </c>
      <c r="F30" s="35"/>
      <c r="G30" s="40"/>
      <c r="H30" s="34">
        <f>'3.照査'!$F$7</f>
        <v>6</v>
      </c>
      <c r="I30" s="135" t="str">
        <f>'3.照査'!$G$8</f>
        <v>段目</v>
      </c>
      <c r="J30" s="136"/>
      <c r="K30" s="392" t="str">
        <f>'3.照査'!$I15</f>
        <v/>
      </c>
      <c r="L30" s="392"/>
      <c r="M30" s="393"/>
      <c r="N30" s="394"/>
      <c r="O30" s="394"/>
      <c r="P30" s="394"/>
      <c r="Q30" s="395" t="str">
        <f>T9</f>
        <v/>
      </c>
      <c r="R30" s="392"/>
      <c r="S30" s="393"/>
      <c r="T30" s="394"/>
      <c r="U30" s="394"/>
      <c r="V30" s="394"/>
      <c r="W30" s="396" t="str">
        <f t="shared" ref="W30" si="18">IFERROR(K30*Q30,"")</f>
        <v/>
      </c>
      <c r="X30" s="394"/>
      <c r="Y30" s="394"/>
      <c r="Z30" s="397"/>
      <c r="AA30" s="396"/>
      <c r="AB30" s="394"/>
      <c r="AC30" s="394"/>
      <c r="AD30" s="398"/>
      <c r="AN30" s="118" t="s">
        <v>465</v>
      </c>
      <c r="AO30" s="35"/>
      <c r="AP30" s="40"/>
      <c r="AQ30" s="34">
        <f>'3.照査'!$F$7</f>
        <v>6</v>
      </c>
      <c r="AR30" s="135" t="str">
        <f>'3.照査'!$G$8</f>
        <v>段目</v>
      </c>
      <c r="AS30" s="136"/>
      <c r="AT30" s="392" t="str">
        <f>'3.照査'!$I15</f>
        <v/>
      </c>
      <c r="AU30" s="392"/>
      <c r="AV30" s="393"/>
      <c r="AW30" s="394"/>
      <c r="AX30" s="394"/>
      <c r="AY30" s="394"/>
      <c r="AZ30" s="395" t="str">
        <f>BC9</f>
        <v/>
      </c>
      <c r="BA30" s="392"/>
      <c r="BB30" s="393"/>
      <c r="BC30" s="394"/>
      <c r="BD30" s="394"/>
      <c r="BE30" s="394"/>
      <c r="BF30" s="396" t="str">
        <f t="shared" ref="BF30" si="19">IFERROR(AT30*AZ30,"")</f>
        <v/>
      </c>
      <c r="BG30" s="394"/>
      <c r="BH30" s="394"/>
      <c r="BI30" s="397"/>
      <c r="BJ30" s="396"/>
      <c r="BK30" s="394"/>
      <c r="BL30" s="394"/>
      <c r="BM30" s="398"/>
      <c r="BW30" s="118" t="s">
        <v>465</v>
      </c>
      <c r="BX30" s="35"/>
      <c r="BY30" s="40"/>
      <c r="BZ30" s="34">
        <f>'3.照査'!$F$7</f>
        <v>6</v>
      </c>
      <c r="CA30" s="135" t="str">
        <f>'3.照査'!$G$8</f>
        <v>段目</v>
      </c>
      <c r="CB30" s="136"/>
      <c r="CC30" s="392" t="str">
        <f>'3.照査'!$I15</f>
        <v/>
      </c>
      <c r="CD30" s="392"/>
      <c r="CE30" s="393"/>
      <c r="CF30" s="394"/>
      <c r="CG30" s="394"/>
      <c r="CH30" s="394"/>
      <c r="CI30" s="395" t="str">
        <f>CL9</f>
        <v/>
      </c>
      <c r="CJ30" s="392"/>
      <c r="CK30" s="393"/>
      <c r="CL30" s="394"/>
      <c r="CM30" s="394"/>
      <c r="CN30" s="394"/>
      <c r="CO30" s="396" t="str">
        <f t="shared" ref="CO30:CO32" si="20">IFERROR(CC30*CI30,"")</f>
        <v/>
      </c>
      <c r="CP30" s="394"/>
      <c r="CQ30" s="394"/>
      <c r="CR30" s="397"/>
      <c r="CS30" s="396"/>
      <c r="CT30" s="394"/>
      <c r="CU30" s="394"/>
      <c r="CV30" s="398"/>
      <c r="DF30" s="118" t="s">
        <v>465</v>
      </c>
      <c r="DG30" s="35"/>
      <c r="DH30" s="40"/>
      <c r="DI30" s="34">
        <f>'3.照査'!$F$7</f>
        <v>6</v>
      </c>
      <c r="DJ30" s="135" t="str">
        <f>'3.照査'!$G$8</f>
        <v>段目</v>
      </c>
      <c r="DK30" s="136"/>
      <c r="DL30" s="392" t="str">
        <f>'3.照査'!$I15</f>
        <v/>
      </c>
      <c r="DM30" s="392"/>
      <c r="DN30" s="393"/>
      <c r="DO30" s="394"/>
      <c r="DP30" s="394"/>
      <c r="DQ30" s="394"/>
      <c r="DR30" s="395" t="str">
        <f>DU9</f>
        <v/>
      </c>
      <c r="DS30" s="392"/>
      <c r="DT30" s="393"/>
      <c r="DU30" s="394"/>
      <c r="DV30" s="394"/>
      <c r="DW30" s="394"/>
      <c r="DX30" s="396" t="str">
        <f t="shared" ref="DX30:DX32" si="21">IFERROR(DL30*DR30,"")</f>
        <v/>
      </c>
      <c r="DY30" s="394"/>
      <c r="DZ30" s="394"/>
      <c r="EA30" s="397"/>
      <c r="EB30" s="396"/>
      <c r="EC30" s="394"/>
      <c r="ED30" s="394"/>
      <c r="EE30" s="398"/>
      <c r="EO30" s="118" t="s">
        <v>465</v>
      </c>
      <c r="EP30" s="35"/>
      <c r="EQ30" s="40"/>
      <c r="ER30" s="34">
        <f>'3.照査'!$F$7</f>
        <v>6</v>
      </c>
      <c r="ES30" s="135" t="str">
        <f>'3.照査'!$G$8</f>
        <v>段目</v>
      </c>
      <c r="ET30" s="136"/>
      <c r="EU30" s="392" t="str">
        <f>'3.照査'!$I15</f>
        <v/>
      </c>
      <c r="EV30" s="392"/>
      <c r="EW30" s="393"/>
      <c r="EX30" s="394"/>
      <c r="EY30" s="394"/>
      <c r="EZ30" s="394"/>
      <c r="FA30" s="395" t="str">
        <f>FD9</f>
        <v/>
      </c>
      <c r="FB30" s="392"/>
      <c r="FC30" s="393"/>
      <c r="FD30" s="394"/>
      <c r="FE30" s="394"/>
      <c r="FF30" s="394"/>
      <c r="FG30" s="396" t="str">
        <f t="shared" ref="FG30:FG32" si="22">IFERROR(EU30*FA30,"")</f>
        <v/>
      </c>
      <c r="FH30" s="394"/>
      <c r="FI30" s="394"/>
      <c r="FJ30" s="397"/>
      <c r="FK30" s="396"/>
      <c r="FL30" s="394"/>
      <c r="FM30" s="394"/>
      <c r="FN30" s="398"/>
      <c r="FX30" s="118" t="s">
        <v>465</v>
      </c>
      <c r="FY30" s="35"/>
      <c r="FZ30" s="40"/>
      <c r="GA30" s="34">
        <f>'3.照査'!$F$7</f>
        <v>6</v>
      </c>
      <c r="GB30" s="135" t="str">
        <f>'3.照査'!$G$8</f>
        <v>段目</v>
      </c>
      <c r="GC30" s="136"/>
      <c r="GD30" s="392" t="str">
        <f>'3.照査'!$I15</f>
        <v/>
      </c>
      <c r="GE30" s="392"/>
      <c r="GF30" s="393"/>
      <c r="GG30" s="394"/>
      <c r="GH30" s="394"/>
      <c r="GI30" s="394"/>
      <c r="GJ30" s="395" t="str">
        <f>GM9</f>
        <v/>
      </c>
      <c r="GK30" s="392"/>
      <c r="GL30" s="393"/>
      <c r="GM30" s="394"/>
      <c r="GN30" s="394"/>
      <c r="GO30" s="394"/>
      <c r="GP30" s="396" t="str">
        <f t="shared" ref="GP30:GP32" si="23">IFERROR(GD30*GJ30,"")</f>
        <v/>
      </c>
      <c r="GQ30" s="394"/>
      <c r="GR30" s="394"/>
      <c r="GS30" s="397"/>
      <c r="GT30" s="396"/>
      <c r="GU30" s="394"/>
      <c r="GV30" s="394"/>
      <c r="GW30" s="398"/>
    </row>
    <row r="31" spans="4:205">
      <c r="E31" s="83"/>
      <c r="G31" s="6"/>
      <c r="H31" s="5"/>
      <c r="I31" s="254"/>
      <c r="J31" s="371"/>
      <c r="K31" s="392"/>
      <c r="L31" s="392"/>
      <c r="M31" s="393"/>
      <c r="N31" s="394"/>
      <c r="O31" s="394"/>
      <c r="P31" s="394"/>
      <c r="Q31" s="395" t="str">
        <f>T10</f>
        <v/>
      </c>
      <c r="R31" s="392"/>
      <c r="S31" s="393"/>
      <c r="T31" s="394"/>
      <c r="U31" s="394"/>
      <c r="V31" s="394"/>
      <c r="W31" s="396"/>
      <c r="X31" s="394"/>
      <c r="Y31" s="394"/>
      <c r="Z31" s="397"/>
      <c r="AA31" s="396"/>
      <c r="AB31" s="394"/>
      <c r="AC31" s="394"/>
      <c r="AD31" s="398"/>
      <c r="AN31" s="83"/>
      <c r="AP31" s="6"/>
      <c r="AQ31" s="5">
        <f>'3.照査'!$F$8</f>
        <v>5</v>
      </c>
      <c r="AR31" s="254" t="str">
        <f>'3.照査'!$G$8</f>
        <v>段目</v>
      </c>
      <c r="AS31" s="371"/>
      <c r="AT31" s="392" t="str">
        <f>'3.照査'!$I16</f>
        <v/>
      </c>
      <c r="AU31" s="392"/>
      <c r="AV31" s="393"/>
      <c r="AW31" s="394"/>
      <c r="AX31" s="394"/>
      <c r="AY31" s="394"/>
      <c r="AZ31" s="395" t="str">
        <f>BC10</f>
        <v/>
      </c>
      <c r="BA31" s="392"/>
      <c r="BB31" s="393"/>
      <c r="BC31" s="394"/>
      <c r="BD31" s="394"/>
      <c r="BE31" s="394"/>
      <c r="BF31" s="396" t="str">
        <f>IFERROR(AT31*AZ31,"")</f>
        <v/>
      </c>
      <c r="BG31" s="394"/>
      <c r="BH31" s="394"/>
      <c r="BI31" s="397"/>
      <c r="BJ31" s="396"/>
      <c r="BK31" s="394"/>
      <c r="BL31" s="394"/>
      <c r="BM31" s="398"/>
      <c r="BW31" s="83"/>
      <c r="BY31" s="6"/>
      <c r="BZ31" s="5">
        <f>'3.照査'!$F$8</f>
        <v>5</v>
      </c>
      <c r="CA31" s="254" t="str">
        <f>'3.照査'!$G$8</f>
        <v>段目</v>
      </c>
      <c r="CB31" s="371"/>
      <c r="CC31" s="392" t="str">
        <f>'3.照査'!$I16</f>
        <v/>
      </c>
      <c r="CD31" s="392"/>
      <c r="CE31" s="393"/>
      <c r="CF31" s="394"/>
      <c r="CG31" s="394"/>
      <c r="CH31" s="394"/>
      <c r="CI31" s="395" t="str">
        <f>CL10</f>
        <v/>
      </c>
      <c r="CJ31" s="392"/>
      <c r="CK31" s="393"/>
      <c r="CL31" s="394"/>
      <c r="CM31" s="394"/>
      <c r="CN31" s="394"/>
      <c r="CO31" s="396" t="str">
        <f t="shared" si="20"/>
        <v/>
      </c>
      <c r="CP31" s="394"/>
      <c r="CQ31" s="394"/>
      <c r="CR31" s="397"/>
      <c r="CS31" s="396"/>
      <c r="CT31" s="394"/>
      <c r="CU31" s="394"/>
      <c r="CV31" s="398"/>
      <c r="DF31" s="83"/>
      <c r="DH31" s="6"/>
      <c r="DI31" s="5">
        <f>'3.照査'!$F$8</f>
        <v>5</v>
      </c>
      <c r="DJ31" s="254" t="str">
        <f>'3.照査'!$G$8</f>
        <v>段目</v>
      </c>
      <c r="DK31" s="371"/>
      <c r="DL31" s="392" t="str">
        <f>'3.照査'!$I16</f>
        <v/>
      </c>
      <c r="DM31" s="392"/>
      <c r="DN31" s="393"/>
      <c r="DO31" s="394"/>
      <c r="DP31" s="394"/>
      <c r="DQ31" s="394"/>
      <c r="DR31" s="395" t="str">
        <f>DU10</f>
        <v/>
      </c>
      <c r="DS31" s="392"/>
      <c r="DT31" s="393"/>
      <c r="DU31" s="394"/>
      <c r="DV31" s="394"/>
      <c r="DW31" s="394"/>
      <c r="DX31" s="396" t="str">
        <f t="shared" si="21"/>
        <v/>
      </c>
      <c r="DY31" s="394"/>
      <c r="DZ31" s="394"/>
      <c r="EA31" s="397"/>
      <c r="EB31" s="396"/>
      <c r="EC31" s="394"/>
      <c r="ED31" s="394"/>
      <c r="EE31" s="398"/>
      <c r="EO31" s="83"/>
      <c r="EQ31" s="6"/>
      <c r="ER31" s="5">
        <f>'3.照査'!$F$8</f>
        <v>5</v>
      </c>
      <c r="ES31" s="254" t="str">
        <f>'3.照査'!$G$8</f>
        <v>段目</v>
      </c>
      <c r="ET31" s="371"/>
      <c r="EU31" s="392" t="str">
        <f>'3.照査'!$I16</f>
        <v/>
      </c>
      <c r="EV31" s="392"/>
      <c r="EW31" s="393"/>
      <c r="EX31" s="394"/>
      <c r="EY31" s="394"/>
      <c r="EZ31" s="394"/>
      <c r="FA31" s="395" t="str">
        <f>FD10</f>
        <v/>
      </c>
      <c r="FB31" s="392"/>
      <c r="FC31" s="393"/>
      <c r="FD31" s="394"/>
      <c r="FE31" s="394"/>
      <c r="FF31" s="394"/>
      <c r="FG31" s="396" t="str">
        <f t="shared" si="22"/>
        <v/>
      </c>
      <c r="FH31" s="394"/>
      <c r="FI31" s="394"/>
      <c r="FJ31" s="397"/>
      <c r="FK31" s="396"/>
      <c r="FL31" s="394"/>
      <c r="FM31" s="394"/>
      <c r="FN31" s="398"/>
      <c r="FX31" s="83"/>
      <c r="FZ31" s="6"/>
      <c r="GA31" s="5">
        <f>'3.照査'!$F$8</f>
        <v>5</v>
      </c>
      <c r="GB31" s="254" t="str">
        <f>'3.照査'!$G$8</f>
        <v>段目</v>
      </c>
      <c r="GC31" s="371"/>
      <c r="GD31" s="392" t="str">
        <f>'3.照査'!$I16</f>
        <v/>
      </c>
      <c r="GE31" s="392"/>
      <c r="GF31" s="393"/>
      <c r="GG31" s="394"/>
      <c r="GH31" s="394"/>
      <c r="GI31" s="394"/>
      <c r="GJ31" s="395" t="str">
        <f>GM10</f>
        <v/>
      </c>
      <c r="GK31" s="392"/>
      <c r="GL31" s="393"/>
      <c r="GM31" s="394"/>
      <c r="GN31" s="394"/>
      <c r="GO31" s="394"/>
      <c r="GP31" s="396" t="str">
        <f t="shared" si="23"/>
        <v/>
      </c>
      <c r="GQ31" s="394"/>
      <c r="GR31" s="394"/>
      <c r="GS31" s="397"/>
      <c r="GT31" s="396"/>
      <c r="GU31" s="394"/>
      <c r="GV31" s="394"/>
      <c r="GW31" s="398"/>
    </row>
    <row r="32" spans="4:205">
      <c r="E32" s="83"/>
      <c r="G32" s="6"/>
      <c r="H32" s="5"/>
      <c r="I32" s="254"/>
      <c r="J32" s="371"/>
      <c r="K32" s="392"/>
      <c r="L32" s="392"/>
      <c r="M32" s="393"/>
      <c r="N32" s="394"/>
      <c r="O32" s="394"/>
      <c r="P32" s="394"/>
      <c r="Q32" s="395" t="str">
        <f>T11</f>
        <v/>
      </c>
      <c r="R32" s="392"/>
      <c r="S32" s="393"/>
      <c r="T32" s="394"/>
      <c r="U32" s="394"/>
      <c r="V32" s="394"/>
      <c r="W32" s="396"/>
      <c r="X32" s="394"/>
      <c r="Y32" s="394"/>
      <c r="Z32" s="397"/>
      <c r="AA32" s="396"/>
      <c r="AB32" s="394"/>
      <c r="AC32" s="394"/>
      <c r="AD32" s="398"/>
      <c r="AN32" s="83"/>
      <c r="AP32" s="6"/>
      <c r="AQ32" s="5"/>
      <c r="AR32" s="254"/>
      <c r="AS32" s="371"/>
      <c r="AT32" s="392"/>
      <c r="AU32" s="392"/>
      <c r="AV32" s="393"/>
      <c r="AW32" s="394"/>
      <c r="AX32" s="394"/>
      <c r="AY32" s="394"/>
      <c r="AZ32" s="395" t="str">
        <f>BC11</f>
        <v/>
      </c>
      <c r="BA32" s="392"/>
      <c r="BB32" s="393"/>
      <c r="BC32" s="394"/>
      <c r="BD32" s="394"/>
      <c r="BE32" s="394"/>
      <c r="BF32" s="396"/>
      <c r="BG32" s="394"/>
      <c r="BH32" s="394"/>
      <c r="BI32" s="397"/>
      <c r="BJ32" s="396"/>
      <c r="BK32" s="394"/>
      <c r="BL32" s="394"/>
      <c r="BM32" s="398"/>
      <c r="BW32" s="83"/>
      <c r="BY32" s="6"/>
      <c r="BZ32" s="5">
        <f>'3.照査'!$F$9</f>
        <v>4</v>
      </c>
      <c r="CA32" s="254" t="str">
        <f>'3.照査'!$G$9</f>
        <v>段目</v>
      </c>
      <c r="CB32" s="371"/>
      <c r="CC32" s="392">
        <f>'3.照査'!$I17</f>
        <v>-4.3120000000000047</v>
      </c>
      <c r="CD32" s="392"/>
      <c r="CE32" s="393"/>
      <c r="CF32" s="394"/>
      <c r="CG32" s="394"/>
      <c r="CH32" s="394"/>
      <c r="CI32" s="395">
        <f>CL11</f>
        <v>0.63000000000000012</v>
      </c>
      <c r="CJ32" s="392"/>
      <c r="CK32" s="393"/>
      <c r="CL32" s="394"/>
      <c r="CM32" s="394"/>
      <c r="CN32" s="394"/>
      <c r="CO32" s="396">
        <f t="shared" si="20"/>
        <v>-2.7165600000000034</v>
      </c>
      <c r="CP32" s="394"/>
      <c r="CQ32" s="394"/>
      <c r="CR32" s="397"/>
      <c r="CS32" s="396"/>
      <c r="CT32" s="394"/>
      <c r="CU32" s="394"/>
      <c r="CV32" s="398"/>
      <c r="DF32" s="83"/>
      <c r="DH32" s="6"/>
      <c r="DI32" s="5">
        <f>'3.照査'!$F$9</f>
        <v>4</v>
      </c>
      <c r="DJ32" s="254" t="str">
        <f>'3.照査'!$G$9</f>
        <v>段目</v>
      </c>
      <c r="DK32" s="371"/>
      <c r="DL32" s="392">
        <f>'3.照査'!$I17</f>
        <v>-4.3120000000000047</v>
      </c>
      <c r="DM32" s="392"/>
      <c r="DN32" s="393"/>
      <c r="DO32" s="394"/>
      <c r="DP32" s="394"/>
      <c r="DQ32" s="394"/>
      <c r="DR32" s="395">
        <f>DU11</f>
        <v>1.0300000000000002</v>
      </c>
      <c r="DS32" s="392"/>
      <c r="DT32" s="393"/>
      <c r="DU32" s="394"/>
      <c r="DV32" s="394"/>
      <c r="DW32" s="394"/>
      <c r="DX32" s="396">
        <f t="shared" si="21"/>
        <v>-4.4413600000000057</v>
      </c>
      <c r="DY32" s="394"/>
      <c r="DZ32" s="394"/>
      <c r="EA32" s="397"/>
      <c r="EB32" s="396"/>
      <c r="EC32" s="394"/>
      <c r="ED32" s="394"/>
      <c r="EE32" s="398"/>
      <c r="EO32" s="83"/>
      <c r="EQ32" s="6"/>
      <c r="ER32" s="5">
        <f>'3.照査'!$F$9</f>
        <v>4</v>
      </c>
      <c r="ES32" s="254" t="str">
        <f>'3.照査'!$G$9</f>
        <v>段目</v>
      </c>
      <c r="ET32" s="371"/>
      <c r="EU32" s="392">
        <f>'3.照査'!$I17</f>
        <v>-4.3120000000000047</v>
      </c>
      <c r="EV32" s="392"/>
      <c r="EW32" s="393"/>
      <c r="EX32" s="394"/>
      <c r="EY32" s="394"/>
      <c r="EZ32" s="394"/>
      <c r="FA32" s="395">
        <f>FD11</f>
        <v>1.4300000000000002</v>
      </c>
      <c r="FB32" s="392"/>
      <c r="FC32" s="393"/>
      <c r="FD32" s="394"/>
      <c r="FE32" s="394"/>
      <c r="FF32" s="394"/>
      <c r="FG32" s="396">
        <f t="shared" si="22"/>
        <v>-6.1661600000000076</v>
      </c>
      <c r="FH32" s="394"/>
      <c r="FI32" s="394"/>
      <c r="FJ32" s="397"/>
      <c r="FK32" s="396"/>
      <c r="FL32" s="394"/>
      <c r="FM32" s="394"/>
      <c r="FN32" s="398"/>
      <c r="FX32" s="83"/>
      <c r="FZ32" s="6"/>
      <c r="GA32" s="5">
        <f>'3.照査'!$F$9</f>
        <v>4</v>
      </c>
      <c r="GB32" s="254" t="str">
        <f>'3.照査'!$G$9</f>
        <v>段目</v>
      </c>
      <c r="GC32" s="371"/>
      <c r="GD32" s="392">
        <f>'3.照査'!$I17</f>
        <v>-4.3120000000000047</v>
      </c>
      <c r="GE32" s="392"/>
      <c r="GF32" s="393"/>
      <c r="GG32" s="394"/>
      <c r="GH32" s="394"/>
      <c r="GI32" s="394"/>
      <c r="GJ32" s="395">
        <f>GM11</f>
        <v>1.8300000000000003</v>
      </c>
      <c r="GK32" s="392"/>
      <c r="GL32" s="393"/>
      <c r="GM32" s="394"/>
      <c r="GN32" s="394"/>
      <c r="GO32" s="394"/>
      <c r="GP32" s="396">
        <f t="shared" si="23"/>
        <v>-7.8909600000000095</v>
      </c>
      <c r="GQ32" s="394"/>
      <c r="GR32" s="394"/>
      <c r="GS32" s="397"/>
      <c r="GT32" s="396"/>
      <c r="GU32" s="394"/>
      <c r="GV32" s="394"/>
      <c r="GW32" s="398"/>
    </row>
    <row r="33" spans="5:210">
      <c r="E33" s="83"/>
      <c r="G33" s="6"/>
      <c r="H33" s="5"/>
      <c r="I33" s="254"/>
      <c r="J33" s="371"/>
      <c r="K33" s="392"/>
      <c r="L33" s="392"/>
      <c r="M33" s="393"/>
      <c r="N33" s="394"/>
      <c r="O33" s="394"/>
      <c r="P33" s="394"/>
      <c r="Q33" s="395" t="str">
        <f>T12</f>
        <v/>
      </c>
      <c r="R33" s="392"/>
      <c r="S33" s="393"/>
      <c r="T33" s="394"/>
      <c r="U33" s="394"/>
      <c r="V33" s="394"/>
      <c r="W33" s="396"/>
      <c r="X33" s="394"/>
      <c r="Y33" s="394"/>
      <c r="Z33" s="397"/>
      <c r="AA33" s="396"/>
      <c r="AB33" s="394"/>
      <c r="AC33" s="394"/>
      <c r="AD33" s="398"/>
      <c r="AN33" s="83"/>
      <c r="AP33" s="6"/>
      <c r="AQ33" s="5"/>
      <c r="AR33" s="254"/>
      <c r="AS33" s="371"/>
      <c r="AT33" s="392"/>
      <c r="AU33" s="392"/>
      <c r="AV33" s="393"/>
      <c r="AW33" s="394"/>
      <c r="AX33" s="394"/>
      <c r="AY33" s="394"/>
      <c r="AZ33" s="395" t="str">
        <f>BC12</f>
        <v/>
      </c>
      <c r="BA33" s="392"/>
      <c r="BB33" s="393"/>
      <c r="BC33" s="394"/>
      <c r="BD33" s="394"/>
      <c r="BE33" s="394"/>
      <c r="BF33" s="396"/>
      <c r="BG33" s="394"/>
      <c r="BH33" s="394"/>
      <c r="BI33" s="397"/>
      <c r="BJ33" s="396"/>
      <c r="BK33" s="394"/>
      <c r="BL33" s="394"/>
      <c r="BM33" s="398"/>
      <c r="BW33" s="83"/>
      <c r="BY33" s="6"/>
      <c r="BZ33" s="5"/>
      <c r="CA33" s="254"/>
      <c r="CB33" s="371"/>
      <c r="CC33" s="392"/>
      <c r="CD33" s="392"/>
      <c r="CE33" s="393"/>
      <c r="CF33" s="394"/>
      <c r="CG33" s="394"/>
      <c r="CH33" s="394"/>
      <c r="CI33" s="395" t="str">
        <f>CL12</f>
        <v/>
      </c>
      <c r="CJ33" s="392"/>
      <c r="CK33" s="393"/>
      <c r="CL33" s="394"/>
      <c r="CM33" s="394"/>
      <c r="CN33" s="394"/>
      <c r="CO33" s="396"/>
      <c r="CP33" s="394"/>
      <c r="CQ33" s="394"/>
      <c r="CR33" s="397"/>
      <c r="CS33" s="396"/>
      <c r="CT33" s="394"/>
      <c r="CU33" s="394"/>
      <c r="CV33" s="398"/>
      <c r="DF33" s="83"/>
      <c r="DH33" s="6"/>
      <c r="DI33" s="5">
        <f>'3.照査'!$F$10</f>
        <v>3</v>
      </c>
      <c r="DJ33" s="254" t="str">
        <f>'3.照査'!$G$10</f>
        <v>段目</v>
      </c>
      <c r="DK33" s="371"/>
      <c r="DL33" s="392">
        <f>'3.照査'!$I18</f>
        <v>-10.780000000000001</v>
      </c>
      <c r="DM33" s="392"/>
      <c r="DN33" s="393"/>
      <c r="DO33" s="394"/>
      <c r="DP33" s="394"/>
      <c r="DQ33" s="394"/>
      <c r="DR33" s="395">
        <f>DU12</f>
        <v>0.75</v>
      </c>
      <c r="DS33" s="392"/>
      <c r="DT33" s="393"/>
      <c r="DU33" s="394"/>
      <c r="DV33" s="394"/>
      <c r="DW33" s="394"/>
      <c r="DX33" s="396">
        <f>IFERROR(DL33*DR33,"")</f>
        <v>-8.0850000000000009</v>
      </c>
      <c r="DY33" s="394"/>
      <c r="DZ33" s="394"/>
      <c r="EA33" s="397"/>
      <c r="EB33" s="396"/>
      <c r="EC33" s="394"/>
      <c r="ED33" s="394"/>
      <c r="EE33" s="398"/>
      <c r="EO33" s="83"/>
      <c r="EQ33" s="6"/>
      <c r="ER33" s="5">
        <f>'3.照査'!$F$10</f>
        <v>3</v>
      </c>
      <c r="ES33" s="254" t="str">
        <f>'3.照査'!$G$10</f>
        <v>段目</v>
      </c>
      <c r="ET33" s="371"/>
      <c r="EU33" s="392">
        <f>'3.照査'!$I18</f>
        <v>-10.780000000000001</v>
      </c>
      <c r="EV33" s="392"/>
      <c r="EW33" s="393"/>
      <c r="EX33" s="394"/>
      <c r="EY33" s="394"/>
      <c r="EZ33" s="394"/>
      <c r="FA33" s="395">
        <f>FD12</f>
        <v>1.1499999999999999</v>
      </c>
      <c r="FB33" s="392"/>
      <c r="FC33" s="393"/>
      <c r="FD33" s="394"/>
      <c r="FE33" s="394"/>
      <c r="FF33" s="394"/>
      <c r="FG33" s="396">
        <f>IFERROR(EU33*FA33,"")</f>
        <v>-12.397</v>
      </c>
      <c r="FH33" s="394"/>
      <c r="FI33" s="394"/>
      <c r="FJ33" s="397"/>
      <c r="FK33" s="396"/>
      <c r="FL33" s="394"/>
      <c r="FM33" s="394"/>
      <c r="FN33" s="398"/>
      <c r="FX33" s="83"/>
      <c r="FZ33" s="6"/>
      <c r="GA33" s="5">
        <f>'3.照査'!$F$10</f>
        <v>3</v>
      </c>
      <c r="GB33" s="254" t="str">
        <f>'3.照査'!$G$10</f>
        <v>段目</v>
      </c>
      <c r="GC33" s="371"/>
      <c r="GD33" s="392">
        <f>'3.照査'!$I18</f>
        <v>-10.780000000000001</v>
      </c>
      <c r="GE33" s="392"/>
      <c r="GF33" s="393"/>
      <c r="GG33" s="394"/>
      <c r="GH33" s="394"/>
      <c r="GI33" s="394"/>
      <c r="GJ33" s="395">
        <f>GM12</f>
        <v>1.55</v>
      </c>
      <c r="GK33" s="392"/>
      <c r="GL33" s="393"/>
      <c r="GM33" s="394"/>
      <c r="GN33" s="394"/>
      <c r="GO33" s="394"/>
      <c r="GP33" s="396">
        <f>IFERROR(GD33*GJ33,"")</f>
        <v>-16.709000000000003</v>
      </c>
      <c r="GQ33" s="394"/>
      <c r="GR33" s="394"/>
      <c r="GS33" s="397"/>
      <c r="GT33" s="396"/>
      <c r="GU33" s="394"/>
      <c r="GV33" s="394"/>
      <c r="GW33" s="398"/>
    </row>
    <row r="34" spans="5:210">
      <c r="E34" s="83"/>
      <c r="G34" s="6"/>
      <c r="H34" s="5"/>
      <c r="I34" s="4"/>
      <c r="J34" s="117"/>
      <c r="K34" s="185"/>
      <c r="L34" s="186"/>
      <c r="M34" s="187"/>
      <c r="N34" s="394"/>
      <c r="O34" s="394"/>
      <c r="P34" s="394"/>
      <c r="Q34" s="395" t="str">
        <f t="shared" ref="Q34:Q35" si="24">T13</f>
        <v/>
      </c>
      <c r="R34" s="392"/>
      <c r="S34" s="393"/>
      <c r="T34" s="394"/>
      <c r="U34" s="394"/>
      <c r="V34" s="394"/>
      <c r="W34" s="185"/>
      <c r="X34" s="186"/>
      <c r="Y34" s="186"/>
      <c r="Z34" s="187"/>
      <c r="AA34" s="396"/>
      <c r="AB34" s="394"/>
      <c r="AC34" s="394"/>
      <c r="AD34" s="398"/>
      <c r="AN34" s="83"/>
      <c r="AP34" s="6"/>
      <c r="AQ34" s="5"/>
      <c r="AR34" s="4"/>
      <c r="AS34" s="117"/>
      <c r="AT34" s="185"/>
      <c r="AU34" s="186"/>
      <c r="AV34" s="187"/>
      <c r="AW34" s="394"/>
      <c r="AX34" s="394"/>
      <c r="AY34" s="394"/>
      <c r="AZ34" s="395" t="str">
        <f t="shared" ref="AZ34:AZ35" si="25">BC13</f>
        <v/>
      </c>
      <c r="BA34" s="392"/>
      <c r="BB34" s="393"/>
      <c r="BC34" s="394"/>
      <c r="BD34" s="394"/>
      <c r="BE34" s="394"/>
      <c r="BF34" s="185"/>
      <c r="BG34" s="186"/>
      <c r="BH34" s="186"/>
      <c r="BI34" s="187"/>
      <c r="BJ34" s="396"/>
      <c r="BK34" s="394"/>
      <c r="BL34" s="394"/>
      <c r="BM34" s="398"/>
      <c r="BW34" s="83"/>
      <c r="BY34" s="6"/>
      <c r="BZ34" s="5"/>
      <c r="CA34" s="4"/>
      <c r="CB34" s="117"/>
      <c r="CC34" s="185"/>
      <c r="CD34" s="186"/>
      <c r="CE34" s="187"/>
      <c r="CF34" s="394"/>
      <c r="CG34" s="394"/>
      <c r="CH34" s="394"/>
      <c r="CI34" s="395" t="str">
        <f t="shared" ref="CI34:CI35" si="26">CL13</f>
        <v/>
      </c>
      <c r="CJ34" s="392"/>
      <c r="CK34" s="393"/>
      <c r="CL34" s="394"/>
      <c r="CM34" s="394"/>
      <c r="CN34" s="394"/>
      <c r="CO34" s="185"/>
      <c r="CP34" s="186"/>
      <c r="CQ34" s="186"/>
      <c r="CR34" s="187"/>
      <c r="CS34" s="396"/>
      <c r="CT34" s="394"/>
      <c r="CU34" s="394"/>
      <c r="CV34" s="398"/>
      <c r="DF34" s="83"/>
      <c r="DH34" s="6"/>
      <c r="DI34" s="5"/>
      <c r="DJ34" s="4"/>
      <c r="DK34" s="117"/>
      <c r="DL34" s="185"/>
      <c r="DM34" s="186"/>
      <c r="DN34" s="187"/>
      <c r="DO34" s="394"/>
      <c r="DP34" s="394"/>
      <c r="DQ34" s="394"/>
      <c r="DR34" s="395" t="str">
        <f t="shared" ref="DR34:DR35" si="27">DU13</f>
        <v/>
      </c>
      <c r="DS34" s="392"/>
      <c r="DT34" s="393"/>
      <c r="DU34" s="394"/>
      <c r="DV34" s="394"/>
      <c r="DW34" s="394"/>
      <c r="DX34" s="185"/>
      <c r="DY34" s="186"/>
      <c r="DZ34" s="186"/>
      <c r="EA34" s="187"/>
      <c r="EB34" s="396"/>
      <c r="EC34" s="394"/>
      <c r="ED34" s="394"/>
      <c r="EE34" s="398"/>
      <c r="EO34" s="83"/>
      <c r="EQ34" s="6"/>
      <c r="ER34" s="5">
        <f>'3.照査'!$F$11</f>
        <v>2</v>
      </c>
      <c r="ES34" s="254" t="str">
        <f>'3.照査'!$G$10</f>
        <v>段目</v>
      </c>
      <c r="ET34" s="371"/>
      <c r="EU34" s="392">
        <f>'3.照査'!$I19</f>
        <v>-10.780000000000001</v>
      </c>
      <c r="EV34" s="392"/>
      <c r="EW34" s="393"/>
      <c r="EX34" s="394"/>
      <c r="EY34" s="394"/>
      <c r="EZ34" s="394"/>
      <c r="FA34" s="395">
        <f t="shared" ref="FA34:FA35" si="28">FD13</f>
        <v>0.75</v>
      </c>
      <c r="FB34" s="392"/>
      <c r="FC34" s="393"/>
      <c r="FD34" s="394"/>
      <c r="FE34" s="394"/>
      <c r="FF34" s="394"/>
      <c r="FG34" s="396">
        <f>IFERROR(EU34*FA34,"")</f>
        <v>-8.0850000000000009</v>
      </c>
      <c r="FH34" s="394"/>
      <c r="FI34" s="394"/>
      <c r="FJ34" s="397"/>
      <c r="FK34" s="396"/>
      <c r="FL34" s="394"/>
      <c r="FM34" s="394"/>
      <c r="FN34" s="398"/>
      <c r="FX34" s="83"/>
      <c r="FZ34" s="6"/>
      <c r="GA34" s="5">
        <f>'3.照査'!$F$11</f>
        <v>2</v>
      </c>
      <c r="GB34" s="254" t="str">
        <f>'3.照査'!$G$10</f>
        <v>段目</v>
      </c>
      <c r="GC34" s="371"/>
      <c r="GD34" s="392">
        <f>'3.照査'!$I19</f>
        <v>-10.780000000000001</v>
      </c>
      <c r="GE34" s="392"/>
      <c r="GF34" s="393"/>
      <c r="GG34" s="394"/>
      <c r="GH34" s="394"/>
      <c r="GI34" s="394"/>
      <c r="GJ34" s="395">
        <f t="shared" ref="GJ34:GJ35" si="29">GM13</f>
        <v>1.1499999999999999</v>
      </c>
      <c r="GK34" s="392"/>
      <c r="GL34" s="393"/>
      <c r="GM34" s="394"/>
      <c r="GN34" s="394"/>
      <c r="GO34" s="394"/>
      <c r="GP34" s="396">
        <f>IFERROR(GD34*GJ34,"")</f>
        <v>-12.397</v>
      </c>
      <c r="GQ34" s="394"/>
      <c r="GR34" s="394"/>
      <c r="GS34" s="397"/>
      <c r="GT34" s="396"/>
      <c r="GU34" s="394"/>
      <c r="GV34" s="394"/>
      <c r="GW34" s="398"/>
    </row>
    <row r="35" spans="5:210">
      <c r="E35" s="111"/>
      <c r="F35" s="10"/>
      <c r="G35" s="8"/>
      <c r="H35" s="7"/>
      <c r="I35" s="27"/>
      <c r="J35" s="116"/>
      <c r="K35" s="185"/>
      <c r="L35" s="186"/>
      <c r="M35" s="187"/>
      <c r="N35" s="394"/>
      <c r="O35" s="394"/>
      <c r="P35" s="394"/>
      <c r="Q35" s="395" t="str">
        <f t="shared" si="24"/>
        <v/>
      </c>
      <c r="R35" s="392"/>
      <c r="S35" s="393"/>
      <c r="T35" s="394"/>
      <c r="U35" s="394"/>
      <c r="V35" s="394"/>
      <c r="W35" s="185"/>
      <c r="X35" s="186"/>
      <c r="Y35" s="186"/>
      <c r="Z35" s="187"/>
      <c r="AA35" s="396"/>
      <c r="AB35" s="394"/>
      <c r="AC35" s="394"/>
      <c r="AD35" s="398"/>
      <c r="AN35" s="111"/>
      <c r="AO35" s="10"/>
      <c r="AP35" s="8"/>
      <c r="AQ35" s="7"/>
      <c r="AR35" s="27"/>
      <c r="AS35" s="116"/>
      <c r="AT35" s="185"/>
      <c r="AU35" s="186"/>
      <c r="AV35" s="187"/>
      <c r="AW35" s="394"/>
      <c r="AX35" s="394"/>
      <c r="AY35" s="394"/>
      <c r="AZ35" s="395" t="str">
        <f t="shared" si="25"/>
        <v/>
      </c>
      <c r="BA35" s="392"/>
      <c r="BB35" s="393"/>
      <c r="BC35" s="394"/>
      <c r="BD35" s="394"/>
      <c r="BE35" s="394"/>
      <c r="BF35" s="185"/>
      <c r="BG35" s="186"/>
      <c r="BH35" s="186"/>
      <c r="BI35" s="187"/>
      <c r="BJ35" s="396"/>
      <c r="BK35" s="394"/>
      <c r="BL35" s="394"/>
      <c r="BM35" s="398"/>
      <c r="BW35" s="111"/>
      <c r="BX35" s="10"/>
      <c r="BY35" s="8"/>
      <c r="BZ35" s="7"/>
      <c r="CA35" s="27"/>
      <c r="CB35" s="116"/>
      <c r="CC35" s="185"/>
      <c r="CD35" s="186"/>
      <c r="CE35" s="187"/>
      <c r="CF35" s="394"/>
      <c r="CG35" s="394"/>
      <c r="CH35" s="394"/>
      <c r="CI35" s="395" t="str">
        <f t="shared" si="26"/>
        <v/>
      </c>
      <c r="CJ35" s="392"/>
      <c r="CK35" s="393"/>
      <c r="CL35" s="394"/>
      <c r="CM35" s="394"/>
      <c r="CN35" s="394"/>
      <c r="CO35" s="185"/>
      <c r="CP35" s="186"/>
      <c r="CQ35" s="186"/>
      <c r="CR35" s="187"/>
      <c r="CS35" s="396"/>
      <c r="CT35" s="394"/>
      <c r="CU35" s="394"/>
      <c r="CV35" s="398"/>
      <c r="DF35" s="111"/>
      <c r="DG35" s="10"/>
      <c r="DH35" s="8"/>
      <c r="DI35" s="7"/>
      <c r="DJ35" s="27"/>
      <c r="DK35" s="116"/>
      <c r="DL35" s="185"/>
      <c r="DM35" s="186"/>
      <c r="DN35" s="187"/>
      <c r="DO35" s="394"/>
      <c r="DP35" s="394"/>
      <c r="DQ35" s="394"/>
      <c r="DR35" s="395" t="str">
        <f t="shared" si="27"/>
        <v/>
      </c>
      <c r="DS35" s="392"/>
      <c r="DT35" s="393"/>
      <c r="DU35" s="394"/>
      <c r="DV35" s="394"/>
      <c r="DW35" s="394"/>
      <c r="DX35" s="185"/>
      <c r="DY35" s="186"/>
      <c r="DZ35" s="186"/>
      <c r="EA35" s="187"/>
      <c r="EB35" s="396"/>
      <c r="EC35" s="394"/>
      <c r="ED35" s="394"/>
      <c r="EE35" s="398"/>
      <c r="EO35" s="111"/>
      <c r="EP35" s="10"/>
      <c r="EQ35" s="8"/>
      <c r="ER35" s="7"/>
      <c r="ES35" s="27"/>
      <c r="ET35" s="116"/>
      <c r="EU35" s="185"/>
      <c r="EV35" s="186"/>
      <c r="EW35" s="187"/>
      <c r="EX35" s="394"/>
      <c r="EY35" s="394"/>
      <c r="EZ35" s="394"/>
      <c r="FA35" s="395" t="str">
        <f t="shared" si="28"/>
        <v/>
      </c>
      <c r="FB35" s="392"/>
      <c r="FC35" s="393"/>
      <c r="FD35" s="394"/>
      <c r="FE35" s="394"/>
      <c r="FF35" s="394"/>
      <c r="FG35" s="185"/>
      <c r="FH35" s="186"/>
      <c r="FI35" s="186"/>
      <c r="FJ35" s="187"/>
      <c r="FK35" s="396"/>
      <c r="FL35" s="394"/>
      <c r="FM35" s="394"/>
      <c r="FN35" s="398"/>
      <c r="FX35" s="111"/>
      <c r="FY35" s="10"/>
      <c r="FZ35" s="8"/>
      <c r="GA35" s="5">
        <f>'3.照査'!$F$12</f>
        <v>1</v>
      </c>
      <c r="GB35" s="138" t="str">
        <f>'3.照査'!$G$10</f>
        <v>段目</v>
      </c>
      <c r="GC35" s="139"/>
      <c r="GD35" s="392">
        <f>'3.照査'!$I20</f>
        <v>-10.780000000000001</v>
      </c>
      <c r="GE35" s="392"/>
      <c r="GF35" s="393"/>
      <c r="GG35" s="394"/>
      <c r="GH35" s="394"/>
      <c r="GI35" s="394"/>
      <c r="GJ35" s="395">
        <f t="shared" si="29"/>
        <v>0.75</v>
      </c>
      <c r="GK35" s="392"/>
      <c r="GL35" s="393"/>
      <c r="GM35" s="394"/>
      <c r="GN35" s="394"/>
      <c r="GO35" s="394"/>
      <c r="GP35" s="396">
        <f>IFERROR(GD35*GJ35,"")</f>
        <v>-8.0850000000000009</v>
      </c>
      <c r="GQ35" s="394"/>
      <c r="GR35" s="394"/>
      <c r="GS35" s="397"/>
      <c r="GT35" s="396"/>
      <c r="GU35" s="394"/>
      <c r="GV35" s="394"/>
      <c r="GW35" s="398"/>
    </row>
    <row r="36" spans="5:210">
      <c r="E36" s="411" t="s">
        <v>340</v>
      </c>
      <c r="F36" s="138"/>
      <c r="G36" s="138"/>
      <c r="H36" s="54"/>
      <c r="K36" s="396">
        <f>'4-1.部材'!$CO$32</f>
        <v>-1.4218779749084189</v>
      </c>
      <c r="L36" s="394"/>
      <c r="M36" s="397"/>
      <c r="N36" s="394">
        <f>'4-1.部材'!$CR$32</f>
        <v>3.5549485466358326</v>
      </c>
      <c r="O36" s="394"/>
      <c r="P36" s="394"/>
      <c r="Q36" s="396">
        <f>'4-1.部材'!$CU$32</f>
        <v>1.2665438949890881</v>
      </c>
      <c r="R36" s="394"/>
      <c r="S36" s="397"/>
      <c r="T36" s="394">
        <f>'4-1.部材'!$CX$32</f>
        <v>0.4163597374727202</v>
      </c>
      <c r="U36" s="394"/>
      <c r="V36" s="394"/>
      <c r="W36" s="396">
        <f>K36*Q36</f>
        <v>-1.8008708685397059</v>
      </c>
      <c r="X36" s="394"/>
      <c r="Y36" s="394"/>
      <c r="Z36" s="397"/>
      <c r="AA36" s="396">
        <f>N36*T36</f>
        <v>1.4801374436063235</v>
      </c>
      <c r="AB36" s="394"/>
      <c r="AC36" s="394"/>
      <c r="AD36" s="398"/>
      <c r="AN36" s="411" t="s">
        <v>340</v>
      </c>
      <c r="AO36" s="138"/>
      <c r="AP36" s="138"/>
      <c r="AQ36" s="54"/>
      <c r="AT36" s="396">
        <f>'4-1.部材'!$CO$33</f>
        <v>-2.7085521150524485</v>
      </c>
      <c r="AU36" s="394"/>
      <c r="AV36" s="397"/>
      <c r="AW36" s="394">
        <f>'4-1.部材'!$CR$33</f>
        <v>6.7718633910995676</v>
      </c>
      <c r="AX36" s="394"/>
      <c r="AY36" s="394"/>
      <c r="AZ36" s="396">
        <f>'4-1.部材'!$CU$33</f>
        <v>1.4991299242001519</v>
      </c>
      <c r="BA36" s="394"/>
      <c r="BB36" s="397"/>
      <c r="BC36" s="394">
        <f>'4-1.部材'!$CX$33</f>
        <v>0.99782481050037919</v>
      </c>
      <c r="BD36" s="394"/>
      <c r="BE36" s="394"/>
      <c r="BF36" s="396">
        <f>AT36*AZ36</f>
        <v>-4.0604715269307379</v>
      </c>
      <c r="BG36" s="394"/>
      <c r="BH36" s="394"/>
      <c r="BI36" s="397"/>
      <c r="BJ36" s="396">
        <f>AW36*BC36</f>
        <v>6.7571333049583808</v>
      </c>
      <c r="BK36" s="394"/>
      <c r="BL36" s="394"/>
      <c r="BM36" s="398"/>
      <c r="BW36" s="411" t="s">
        <v>340</v>
      </c>
      <c r="BX36" s="138"/>
      <c r="BY36" s="138"/>
      <c r="BZ36" s="54"/>
      <c r="CC36" s="396">
        <f>'4-1.部材'!$CO$34</f>
        <v>-3.4500336679837065</v>
      </c>
      <c r="CD36" s="394"/>
      <c r="CE36" s="397"/>
      <c r="CF36" s="394">
        <f>'4-1.部材'!$CR$34</f>
        <v>8.6256995257510187</v>
      </c>
      <c r="CG36" s="394"/>
      <c r="CH36" s="394"/>
      <c r="CI36" s="396">
        <f>'4-1.部材'!$CU$34</f>
        <v>1.7756323756640251</v>
      </c>
      <c r="CJ36" s="394"/>
      <c r="CK36" s="397"/>
      <c r="CL36" s="394">
        <f>'4-1.部材'!$CX$34</f>
        <v>1.6890809391600623</v>
      </c>
      <c r="CM36" s="394"/>
      <c r="CN36" s="394"/>
      <c r="CO36" s="396">
        <f>CC36*CI36</f>
        <v>-6.1259914780027795</v>
      </c>
      <c r="CP36" s="394"/>
      <c r="CQ36" s="394"/>
      <c r="CR36" s="397"/>
      <c r="CS36" s="396">
        <f>CF36*CL36</f>
        <v>14.569504655868034</v>
      </c>
      <c r="CT36" s="394"/>
      <c r="CU36" s="394"/>
      <c r="CV36" s="398"/>
      <c r="DF36" s="411" t="s">
        <v>340</v>
      </c>
      <c r="DG36" s="138"/>
      <c r="DH36" s="138"/>
      <c r="DI36" s="54"/>
      <c r="DL36" s="396">
        <f>'4-1.部材'!$CO$35</f>
        <v>-3.6516627726053632</v>
      </c>
      <c r="DM36" s="394"/>
      <c r="DN36" s="397"/>
      <c r="DO36" s="394">
        <f>'4-1.部材'!$CR$35</f>
        <v>9.1298082503273381</v>
      </c>
      <c r="DP36" s="394"/>
      <c r="DQ36" s="394"/>
      <c r="DR36" s="396">
        <f>'4-1.部材'!$CU$35</f>
        <v>2.1319951981929943</v>
      </c>
      <c r="DS36" s="394"/>
      <c r="DT36" s="397"/>
      <c r="DU36" s="394">
        <f>'4-1.部材'!$CX$35</f>
        <v>2.5799879954824849</v>
      </c>
      <c r="DV36" s="394"/>
      <c r="DW36" s="394"/>
      <c r="DX36" s="396">
        <f>DL36*DR36</f>
        <v>-7.7853274966147508</v>
      </c>
      <c r="DY36" s="394"/>
      <c r="DZ36" s="394"/>
      <c r="EA36" s="397"/>
      <c r="EB36" s="396">
        <f>DO36*DU36</f>
        <v>23.554795686901482</v>
      </c>
      <c r="EC36" s="394"/>
      <c r="ED36" s="394"/>
      <c r="EE36" s="398"/>
      <c r="EO36" s="411" t="s">
        <v>340</v>
      </c>
      <c r="EP36" s="138"/>
      <c r="EQ36" s="138"/>
      <c r="ER36" s="54"/>
      <c r="EU36" s="396">
        <f>'4-1.部材'!$CO$36</f>
        <v>-3.6516627726053632</v>
      </c>
      <c r="EV36" s="394"/>
      <c r="EW36" s="397"/>
      <c r="EX36" s="394">
        <f>'4-1.部材'!$CR$36</f>
        <v>9.1298082503273381</v>
      </c>
      <c r="EY36" s="394"/>
      <c r="EZ36" s="394"/>
      <c r="FA36" s="396">
        <f>'4-1.部材'!$CU$36</f>
        <v>2.5319951981929942</v>
      </c>
      <c r="FB36" s="394"/>
      <c r="FC36" s="397"/>
      <c r="FD36" s="394">
        <f>'4-1.部材'!$CX$36</f>
        <v>3.5799879954824849</v>
      </c>
      <c r="FE36" s="394"/>
      <c r="FF36" s="394"/>
      <c r="FG36" s="396">
        <f>EU36*FA36</f>
        <v>-9.2459926056568946</v>
      </c>
      <c r="FH36" s="394"/>
      <c r="FI36" s="394"/>
      <c r="FJ36" s="397"/>
      <c r="FK36" s="396">
        <f>EX36*FD36</f>
        <v>32.684603937228822</v>
      </c>
      <c r="FL36" s="394"/>
      <c r="FM36" s="394"/>
      <c r="FN36" s="398"/>
      <c r="FX36" s="411" t="s">
        <v>340</v>
      </c>
      <c r="FY36" s="138"/>
      <c r="FZ36" s="138"/>
      <c r="GA36" s="54"/>
      <c r="GD36" s="396">
        <f>'4-1.部材'!$CO$37</f>
        <v>-3.6516627726053632</v>
      </c>
      <c r="GE36" s="394"/>
      <c r="GF36" s="397"/>
      <c r="GG36" s="394">
        <f>'4-1.部材'!$CR$37</f>
        <v>9.1298082503273381</v>
      </c>
      <c r="GH36" s="394"/>
      <c r="GI36" s="394"/>
      <c r="GJ36" s="396">
        <f>'4-1.部材'!$CU$37</f>
        <v>2.9319951981929941</v>
      </c>
      <c r="GK36" s="394"/>
      <c r="GL36" s="397"/>
      <c r="GM36" s="394">
        <f>'4-1.部材'!$CX$37</f>
        <v>4.5799879954824849</v>
      </c>
      <c r="GN36" s="394"/>
      <c r="GO36" s="394"/>
      <c r="GP36" s="396">
        <f>GD36*GJ36</f>
        <v>-10.706657714699041</v>
      </c>
      <c r="GQ36" s="394"/>
      <c r="GR36" s="394"/>
      <c r="GS36" s="397"/>
      <c r="GT36" s="396">
        <f>GG36*GM36</f>
        <v>41.814412187556158</v>
      </c>
      <c r="GU36" s="394"/>
      <c r="GV36" s="394"/>
      <c r="GW36" s="398"/>
    </row>
    <row r="37" spans="5:210" ht="18.600000000000001" thickBot="1">
      <c r="E37" s="113"/>
      <c r="F37" s="84"/>
      <c r="G37" s="84" t="s">
        <v>341</v>
      </c>
      <c r="H37" s="84"/>
      <c r="I37" s="84"/>
      <c r="J37" s="84"/>
      <c r="K37" s="412">
        <f>SUM(K23:M36)</f>
        <v>18.837101708570305</v>
      </c>
      <c r="L37" s="413"/>
      <c r="M37" s="414"/>
      <c r="N37" s="412">
        <f>SUM(N23:P36)</f>
        <v>4.2639895070704226</v>
      </c>
      <c r="O37" s="413"/>
      <c r="P37" s="414"/>
      <c r="Q37" s="412"/>
      <c r="R37" s="413"/>
      <c r="S37" s="414"/>
      <c r="T37" s="413"/>
      <c r="U37" s="413"/>
      <c r="V37" s="413"/>
      <c r="W37" s="412">
        <f>SUM(W23:Z36)</f>
        <v>12.592431282857957</v>
      </c>
      <c r="X37" s="413"/>
      <c r="Y37" s="413"/>
      <c r="Z37" s="414"/>
      <c r="AA37" s="412">
        <f>SUM(AA23:AD36)</f>
        <v>1.6692150330555473</v>
      </c>
      <c r="AB37" s="413"/>
      <c r="AC37" s="413"/>
      <c r="AD37" s="415"/>
      <c r="AN37" s="113"/>
      <c r="AO37" s="84"/>
      <c r="AP37" s="84" t="s">
        <v>341</v>
      </c>
      <c r="AQ37" s="84"/>
      <c r="AR37" s="84"/>
      <c r="AS37" s="84"/>
      <c r="AT37" s="412">
        <f>SUM(AT23:AV36)</f>
        <v>42.927532532558601</v>
      </c>
      <c r="AU37" s="413"/>
      <c r="AV37" s="414"/>
      <c r="AW37" s="412">
        <f>SUM(AW23:AY36)</f>
        <v>10.36138325329968</v>
      </c>
      <c r="AX37" s="413"/>
      <c r="AY37" s="414"/>
      <c r="AZ37" s="412"/>
      <c r="BA37" s="413"/>
      <c r="BB37" s="414"/>
      <c r="BC37" s="413"/>
      <c r="BD37" s="413"/>
      <c r="BE37" s="413"/>
      <c r="BF37" s="412">
        <f>SUM(BF23:BI36)</f>
        <v>37.509681900868081</v>
      </c>
      <c r="BG37" s="413"/>
      <c r="BH37" s="413"/>
      <c r="BI37" s="414"/>
      <c r="BJ37" s="412">
        <f>SUM(BJ23:BM36)</f>
        <v>8.9108452222784482</v>
      </c>
      <c r="BK37" s="413"/>
      <c r="BL37" s="413"/>
      <c r="BM37" s="415"/>
      <c r="BW37" s="113"/>
      <c r="BX37" s="84"/>
      <c r="BY37" s="84" t="s">
        <v>341</v>
      </c>
      <c r="BZ37" s="84"/>
      <c r="CA37" s="84"/>
      <c r="CB37" s="84"/>
      <c r="CC37" s="412">
        <f>SUM(CC23:CE36)</f>
        <v>63.310467454630711</v>
      </c>
      <c r="CD37" s="413"/>
      <c r="CE37" s="414"/>
      <c r="CF37" s="412">
        <f>SUM(CF23:CH36)</f>
        <v>17.311451291074746</v>
      </c>
      <c r="CG37" s="413"/>
      <c r="CH37" s="414"/>
      <c r="CI37" s="412"/>
      <c r="CJ37" s="413"/>
      <c r="CK37" s="414"/>
      <c r="CL37" s="413"/>
      <c r="CM37" s="413"/>
      <c r="CN37" s="413"/>
      <c r="CO37" s="412">
        <f>SUM(CO23:CR36)</f>
        <v>70.132400175982454</v>
      </c>
      <c r="CP37" s="413"/>
      <c r="CQ37" s="413"/>
      <c r="CR37" s="414"/>
      <c r="CS37" s="412">
        <f>SUM(CS23:CV36)</f>
        <v>22.676206303503513</v>
      </c>
      <c r="CT37" s="413"/>
      <c r="CU37" s="413"/>
      <c r="CV37" s="415"/>
      <c r="DF37" s="113"/>
      <c r="DG37" s="84"/>
      <c r="DH37" s="84" t="s">
        <v>341</v>
      </c>
      <c r="DI37" s="84"/>
      <c r="DJ37" s="84"/>
      <c r="DK37" s="84"/>
      <c r="DL37" s="416">
        <f>SUM(DL23:DN36)</f>
        <v>77.824566335883418</v>
      </c>
      <c r="DM37" s="417"/>
      <c r="DN37" s="418"/>
      <c r="DO37" s="416">
        <f>SUM(DO23:DQ36)</f>
        <v>25.127544920132777</v>
      </c>
      <c r="DP37" s="417"/>
      <c r="DQ37" s="418"/>
      <c r="DR37" s="416"/>
      <c r="DS37" s="417"/>
      <c r="DT37" s="418"/>
      <c r="DU37" s="416"/>
      <c r="DV37" s="417"/>
      <c r="DW37" s="418"/>
      <c r="DX37" s="416">
        <f>SUM(DX23:EA36)</f>
        <v>106.31973393769057</v>
      </c>
      <c r="DY37" s="417"/>
      <c r="DZ37" s="417"/>
      <c r="EA37" s="418"/>
      <c r="EB37" s="416">
        <f>SUM(EB23:EE36)</f>
        <v>43.818595468655033</v>
      </c>
      <c r="EC37" s="417"/>
      <c r="ED37" s="417"/>
      <c r="EE37" s="419"/>
      <c r="EO37" s="113"/>
      <c r="EP37" s="84"/>
      <c r="EQ37" s="84" t="s">
        <v>341</v>
      </c>
      <c r="ER37" s="84"/>
      <c r="ES37" s="84"/>
      <c r="ET37" s="84"/>
      <c r="EU37" s="412">
        <f>SUM(EU23:EW36)</f>
        <v>92.599605832628811</v>
      </c>
      <c r="EV37" s="413"/>
      <c r="EW37" s="414"/>
      <c r="EX37" s="412">
        <f>SUM(EX23:EZ36)</f>
        <v>34.655282825972577</v>
      </c>
      <c r="EY37" s="413"/>
      <c r="EZ37" s="414"/>
      <c r="FA37" s="412"/>
      <c r="FB37" s="413"/>
      <c r="FC37" s="414"/>
      <c r="FD37" s="413"/>
      <c r="FE37" s="413"/>
      <c r="FF37" s="413"/>
      <c r="FG37" s="412">
        <f>SUM(FG23:FJ36)</f>
        <v>148.6691347674506</v>
      </c>
      <c r="FH37" s="413"/>
      <c r="FI37" s="413"/>
      <c r="FJ37" s="414"/>
      <c r="FK37" s="412">
        <f>SUM(FK23:FN36)</f>
        <v>73.525363258261194</v>
      </c>
      <c r="FL37" s="413"/>
      <c r="FM37" s="413"/>
      <c r="FN37" s="415"/>
      <c r="FX37" s="113"/>
      <c r="FY37" s="84"/>
      <c r="FZ37" s="84" t="s">
        <v>341</v>
      </c>
      <c r="GA37" s="84"/>
      <c r="GB37" s="84"/>
      <c r="GC37" s="84"/>
      <c r="GD37" s="412">
        <f>SUM(GD23:GF36)</f>
        <v>107.43395684024523</v>
      </c>
      <c r="GE37" s="413"/>
      <c r="GF37" s="414"/>
      <c r="GG37" s="412">
        <f>SUM(GG23:GI36)</f>
        <v>46.398773733170479</v>
      </c>
      <c r="GH37" s="413"/>
      <c r="GI37" s="414"/>
      <c r="GJ37" s="412"/>
      <c r="GK37" s="413"/>
      <c r="GL37" s="414"/>
      <c r="GM37" s="413"/>
      <c r="GN37" s="413"/>
      <c r="GO37" s="413"/>
      <c r="GP37" s="412">
        <f>SUM(GP23:GS36)</f>
        <v>197.00565636004112</v>
      </c>
      <c r="GQ37" s="413"/>
      <c r="GR37" s="413"/>
      <c r="GS37" s="414"/>
      <c r="GT37" s="412">
        <f>SUM(GT23:GW36)</f>
        <v>113.86774545438624</v>
      </c>
      <c r="GU37" s="413"/>
      <c r="GV37" s="413"/>
      <c r="GW37" s="415"/>
    </row>
    <row r="38" spans="5:210">
      <c r="AI38">
        <f>'4-1.部材'!DA38+1</f>
        <v>18</v>
      </c>
      <c r="BR38">
        <f>AI38+1</f>
        <v>19</v>
      </c>
      <c r="DA38">
        <f>BR38+1</f>
        <v>20</v>
      </c>
      <c r="EJ38">
        <f>DA38+1</f>
        <v>21</v>
      </c>
      <c r="FS38">
        <f>EJ38+1</f>
        <v>22</v>
      </c>
      <c r="HB38">
        <f>FS38+1</f>
        <v>23</v>
      </c>
    </row>
  </sheetData>
  <sheetProtection sheet="1" objects="1" scenarios="1"/>
  <mergeCells count="1023">
    <mergeCell ref="K5:P5"/>
    <mergeCell ref="K6:M6"/>
    <mergeCell ref="Q6:S6"/>
    <mergeCell ref="K7:M7"/>
    <mergeCell ref="Q7:S7"/>
    <mergeCell ref="AT7:AV7"/>
    <mergeCell ref="AT8:AV8"/>
    <mergeCell ref="AZ7:BB7"/>
    <mergeCell ref="AZ8:BB8"/>
    <mergeCell ref="AZ6:BB6"/>
    <mergeCell ref="EU7:EW7"/>
    <mergeCell ref="DR7:DT7"/>
    <mergeCell ref="DR8:DT8"/>
    <mergeCell ref="GJ7:GL7"/>
    <mergeCell ref="GD7:GF7"/>
    <mergeCell ref="GJ8:GL8"/>
    <mergeCell ref="FA7:FC7"/>
    <mergeCell ref="FA8:FC8"/>
    <mergeCell ref="DL7:DN7"/>
    <mergeCell ref="CL7:CN7"/>
    <mergeCell ref="CC7:CE7"/>
    <mergeCell ref="CC8:CE8"/>
    <mergeCell ref="CI8:CK8"/>
    <mergeCell ref="CI7:CK7"/>
    <mergeCell ref="GG25:GI25"/>
    <mergeCell ref="CC35:CE35"/>
    <mergeCell ref="CF35:CH35"/>
    <mergeCell ref="CI35:CK35"/>
    <mergeCell ref="CL35:CN35"/>
    <mergeCell ref="CO35:CR35"/>
    <mergeCell ref="CS35:CV35"/>
    <mergeCell ref="CF7:CH7"/>
    <mergeCell ref="GP35:GS35"/>
    <mergeCell ref="GP28:GS28"/>
    <mergeCell ref="FD32:FF32"/>
    <mergeCell ref="FG32:FJ32"/>
    <mergeCell ref="FK32:FN32"/>
    <mergeCell ref="GJ9:GL9"/>
    <mergeCell ref="GM9:GO9"/>
    <mergeCell ref="GJ10:GL10"/>
    <mergeCell ref="GM10:GO10"/>
    <mergeCell ref="GJ11:GL11"/>
    <mergeCell ref="GM11:GO11"/>
    <mergeCell ref="GJ12:GL12"/>
    <mergeCell ref="GM12:GO12"/>
    <mergeCell ref="GJ13:GL13"/>
    <mergeCell ref="GM13:GO13"/>
    <mergeCell ref="GJ25:GL25"/>
    <mergeCell ref="GM7:GO7"/>
    <mergeCell ref="GM8:GO8"/>
    <mergeCell ref="GA7:GC7"/>
    <mergeCell ref="GG7:GI7"/>
    <mergeCell ref="EX8:EZ8"/>
    <mergeCell ref="GA8:GC8"/>
    <mergeCell ref="GD8:GF8"/>
    <mergeCell ref="GG8:GI8"/>
    <mergeCell ref="GT35:GW35"/>
    <mergeCell ref="GB35:GC35"/>
    <mergeCell ref="GB33:GC33"/>
    <mergeCell ref="GD33:GF33"/>
    <mergeCell ref="GG33:GI33"/>
    <mergeCell ref="GJ33:GL33"/>
    <mergeCell ref="GM33:GO33"/>
    <mergeCell ref="GP33:GS33"/>
    <mergeCell ref="GT33:GW33"/>
    <mergeCell ref="GB34:GC34"/>
    <mergeCell ref="GD34:GF34"/>
    <mergeCell ref="GG34:GI34"/>
    <mergeCell ref="GJ34:GL34"/>
    <mergeCell ref="GM34:GO34"/>
    <mergeCell ref="GP34:GS34"/>
    <mergeCell ref="GT34:GW34"/>
    <mergeCell ref="GP30:GS30"/>
    <mergeCell ref="GT30:GW30"/>
    <mergeCell ref="GJ30:GL30"/>
    <mergeCell ref="GD35:GF35"/>
    <mergeCell ref="GG35:GI35"/>
    <mergeCell ref="GB31:GC31"/>
    <mergeCell ref="GD31:GF31"/>
    <mergeCell ref="GG31:GI31"/>
    <mergeCell ref="GB30:GC30"/>
    <mergeCell ref="GD30:GF30"/>
    <mergeCell ref="GG30:GI30"/>
    <mergeCell ref="GT28:GW28"/>
    <mergeCell ref="GP27:GS27"/>
    <mergeCell ref="GT27:GW27"/>
    <mergeCell ref="GP26:GS26"/>
    <mergeCell ref="GT26:GW26"/>
    <mergeCell ref="GJ31:GL31"/>
    <mergeCell ref="GM31:GO31"/>
    <mergeCell ref="GP31:GS31"/>
    <mergeCell ref="GT31:GW31"/>
    <mergeCell ref="GB32:GC32"/>
    <mergeCell ref="GD32:GF32"/>
    <mergeCell ref="GG32:GI32"/>
    <mergeCell ref="GJ32:GL32"/>
    <mergeCell ref="GM32:GO32"/>
    <mergeCell ref="GP32:GS32"/>
    <mergeCell ref="GT32:GW32"/>
    <mergeCell ref="ES34:ET34"/>
    <mergeCell ref="EU34:EW34"/>
    <mergeCell ref="EX34:EZ34"/>
    <mergeCell ref="FA34:FC34"/>
    <mergeCell ref="FD34:FF34"/>
    <mergeCell ref="FG34:FJ34"/>
    <mergeCell ref="FK34:FN34"/>
    <mergeCell ref="ES30:ET30"/>
    <mergeCell ref="EU30:EW30"/>
    <mergeCell ref="EX30:EZ30"/>
    <mergeCell ref="FA30:FC30"/>
    <mergeCell ref="FD30:FF30"/>
    <mergeCell ref="FG30:FJ30"/>
    <mergeCell ref="FK30:FN30"/>
    <mergeCell ref="FK27:FN27"/>
    <mergeCell ref="GB27:GC27"/>
    <mergeCell ref="GM25:GO25"/>
    <mergeCell ref="EU35:EW35"/>
    <mergeCell ref="EX35:EZ35"/>
    <mergeCell ref="FA35:FC35"/>
    <mergeCell ref="FD35:FF35"/>
    <mergeCell ref="FG35:FJ35"/>
    <mergeCell ref="FK35:FN35"/>
    <mergeCell ref="GM30:GO30"/>
    <mergeCell ref="GJ35:GL35"/>
    <mergeCell ref="GM35:GO35"/>
    <mergeCell ref="K34:M34"/>
    <mergeCell ref="N34:P34"/>
    <mergeCell ref="Q34:S34"/>
    <mergeCell ref="T34:V34"/>
    <mergeCell ref="W34:Z34"/>
    <mergeCell ref="AA34:AD34"/>
    <mergeCell ref="K35:M35"/>
    <mergeCell ref="N35:P35"/>
    <mergeCell ref="Q35:S35"/>
    <mergeCell ref="T35:V35"/>
    <mergeCell ref="W35:Z35"/>
    <mergeCell ref="AA35:AD35"/>
    <mergeCell ref="AA33:AD33"/>
    <mergeCell ref="AW35:AY35"/>
    <mergeCell ref="AZ35:BB35"/>
    <mergeCell ref="BC35:BE35"/>
    <mergeCell ref="BF35:BI35"/>
    <mergeCell ref="BJ35:BM35"/>
    <mergeCell ref="CL31:CN31"/>
    <mergeCell ref="CO31:CR31"/>
    <mergeCell ref="CS31:CV31"/>
    <mergeCell ref="CC32:CE32"/>
    <mergeCell ref="GJ14:GL14"/>
    <mergeCell ref="GM14:GO14"/>
    <mergeCell ref="ES33:ET33"/>
    <mergeCell ref="EU33:EW33"/>
    <mergeCell ref="EX33:EZ33"/>
    <mergeCell ref="FA33:FC33"/>
    <mergeCell ref="FD33:FF33"/>
    <mergeCell ref="FG33:FJ33"/>
    <mergeCell ref="FK33:FN33"/>
    <mergeCell ref="ES31:ET31"/>
    <mergeCell ref="EU31:EW31"/>
    <mergeCell ref="EX31:EZ31"/>
    <mergeCell ref="FA31:FC31"/>
    <mergeCell ref="FD31:FF31"/>
    <mergeCell ref="FG31:FJ31"/>
    <mergeCell ref="FK31:FN31"/>
    <mergeCell ref="ES32:ET32"/>
    <mergeCell ref="EU32:EW32"/>
    <mergeCell ref="EX32:EZ32"/>
    <mergeCell ref="FA32:FC32"/>
    <mergeCell ref="FG28:FJ28"/>
    <mergeCell ref="FK28:FN28"/>
    <mergeCell ref="GB28:GC28"/>
    <mergeCell ref="ES26:ET26"/>
    <mergeCell ref="EU26:EW26"/>
    <mergeCell ref="GJ24:GL24"/>
    <mergeCell ref="GD21:GF21"/>
    <mergeCell ref="GG21:GI21"/>
    <mergeCell ref="GJ21:GL21"/>
    <mergeCell ref="GM21:GO21"/>
    <mergeCell ref="GG14:GI14"/>
    <mergeCell ref="GA14:GC14"/>
    <mergeCell ref="Q5:V5"/>
    <mergeCell ref="T6:V6"/>
    <mergeCell ref="T7:V7"/>
    <mergeCell ref="Q9:S9"/>
    <mergeCell ref="T9:V9"/>
    <mergeCell ref="Q10:S10"/>
    <mergeCell ref="T13:V13"/>
    <mergeCell ref="AZ13:BB13"/>
    <mergeCell ref="BC13:BE13"/>
    <mergeCell ref="AO12:AP12"/>
    <mergeCell ref="AQ12:AS12"/>
    <mergeCell ref="AT12:AV12"/>
    <mergeCell ref="AW12:AY12"/>
    <mergeCell ref="AT10:AV10"/>
    <mergeCell ref="AW10:AY10"/>
    <mergeCell ref="AQ5:AS5"/>
    <mergeCell ref="AT5:AY5"/>
    <mergeCell ref="AZ5:BE5"/>
    <mergeCell ref="AT6:AV6"/>
    <mergeCell ref="AW6:AY6"/>
    <mergeCell ref="AO9:AP9"/>
    <mergeCell ref="AQ9:AS9"/>
    <mergeCell ref="AT9:AV9"/>
    <mergeCell ref="I30:J30"/>
    <mergeCell ref="K30:M30"/>
    <mergeCell ref="N30:P30"/>
    <mergeCell ref="Q30:S30"/>
    <mergeCell ref="T30:V30"/>
    <mergeCell ref="W30:Z30"/>
    <mergeCell ref="AA30:AD30"/>
    <mergeCell ref="I31:J31"/>
    <mergeCell ref="K31:M31"/>
    <mergeCell ref="N31:P31"/>
    <mergeCell ref="Q31:S31"/>
    <mergeCell ref="T31:V31"/>
    <mergeCell ref="W31:Z31"/>
    <mergeCell ref="AA31:AD31"/>
    <mergeCell ref="I32:J32"/>
    <mergeCell ref="K32:M32"/>
    <mergeCell ref="N32:P32"/>
    <mergeCell ref="Q32:S32"/>
    <mergeCell ref="T32:V32"/>
    <mergeCell ref="W32:Z32"/>
    <mergeCell ref="AA32:AD32"/>
    <mergeCell ref="I33:J33"/>
    <mergeCell ref="K33:M33"/>
    <mergeCell ref="N33:P33"/>
    <mergeCell ref="Q33:S33"/>
    <mergeCell ref="T33:V33"/>
    <mergeCell ref="W33:Z33"/>
    <mergeCell ref="CO29:CR29"/>
    <mergeCell ref="CS29:CV29"/>
    <mergeCell ref="AR30:AS30"/>
    <mergeCell ref="AT30:AV30"/>
    <mergeCell ref="AW30:AY30"/>
    <mergeCell ref="AZ30:BB30"/>
    <mergeCell ref="BC30:BE30"/>
    <mergeCell ref="BF30:BI30"/>
    <mergeCell ref="BJ30:BM30"/>
    <mergeCell ref="AR31:AS31"/>
    <mergeCell ref="AT31:AV31"/>
    <mergeCell ref="AW31:AY31"/>
    <mergeCell ref="AZ31:BB31"/>
    <mergeCell ref="BC31:BE31"/>
    <mergeCell ref="BF31:BI31"/>
    <mergeCell ref="BJ31:BM31"/>
    <mergeCell ref="AW32:AY32"/>
    <mergeCell ref="AZ32:BB32"/>
    <mergeCell ref="BC32:BE32"/>
    <mergeCell ref="BF32:BI32"/>
    <mergeCell ref="BJ32:BM32"/>
    <mergeCell ref="AR32:AS32"/>
    <mergeCell ref="AT32:AV32"/>
    <mergeCell ref="CC31:CE31"/>
    <mergeCell ref="CF31:CH31"/>
    <mergeCell ref="CI31:CK31"/>
    <mergeCell ref="CA33:CB33"/>
    <mergeCell ref="CC33:CE33"/>
    <mergeCell ref="DJ33:DK33"/>
    <mergeCell ref="DJ30:DK30"/>
    <mergeCell ref="DU30:DW30"/>
    <mergeCell ref="CF33:CH33"/>
    <mergeCell ref="CI33:CK33"/>
    <mergeCell ref="CL33:CN33"/>
    <mergeCell ref="CO33:CR33"/>
    <mergeCell ref="CS33:CV33"/>
    <mergeCell ref="CO30:CR30"/>
    <mergeCell ref="CS30:CV30"/>
    <mergeCell ref="DJ31:DK31"/>
    <mergeCell ref="DJ32:DK32"/>
    <mergeCell ref="CA31:CB31"/>
    <mergeCell ref="CA32:CB32"/>
    <mergeCell ref="DL32:DN32"/>
    <mergeCell ref="DO32:DQ32"/>
    <mergeCell ref="DR32:DT32"/>
    <mergeCell ref="DU32:DW32"/>
    <mergeCell ref="DX32:EA32"/>
    <mergeCell ref="EB32:EE32"/>
    <mergeCell ref="DL35:DN35"/>
    <mergeCell ref="DO35:DQ35"/>
    <mergeCell ref="DR35:DT35"/>
    <mergeCell ref="DU35:DW35"/>
    <mergeCell ref="DX35:EA35"/>
    <mergeCell ref="EB35:EE35"/>
    <mergeCell ref="DO33:DQ33"/>
    <mergeCell ref="DU33:DW33"/>
    <mergeCell ref="EB33:EE33"/>
    <mergeCell ref="DX33:EA33"/>
    <mergeCell ref="CC34:CE34"/>
    <mergeCell ref="CF34:CH34"/>
    <mergeCell ref="CI34:CK34"/>
    <mergeCell ref="CL34:CN34"/>
    <mergeCell ref="CO34:CR34"/>
    <mergeCell ref="CS34:CV34"/>
    <mergeCell ref="CF32:CH32"/>
    <mergeCell ref="CI32:CK32"/>
    <mergeCell ref="CL32:CN32"/>
    <mergeCell ref="CO32:CR32"/>
    <mergeCell ref="CS32:CV32"/>
    <mergeCell ref="CA30:CB30"/>
    <mergeCell ref="CC30:CE30"/>
    <mergeCell ref="CF30:CH30"/>
    <mergeCell ref="CI30:CK30"/>
    <mergeCell ref="CL30:CN30"/>
    <mergeCell ref="CC29:CE29"/>
    <mergeCell ref="CF29:CH29"/>
    <mergeCell ref="CI29:CK29"/>
    <mergeCell ref="CL29:CN29"/>
    <mergeCell ref="CL28:CN28"/>
    <mergeCell ref="CL24:CN24"/>
    <mergeCell ref="CC22:CE22"/>
    <mergeCell ref="CF22:CH22"/>
    <mergeCell ref="CI22:CK22"/>
    <mergeCell ref="CL22:CN22"/>
    <mergeCell ref="CC11:CE11"/>
    <mergeCell ref="CC21:CE21"/>
    <mergeCell ref="CF21:CH21"/>
    <mergeCell ref="CI21:CK21"/>
    <mergeCell ref="CL21:CN21"/>
    <mergeCell ref="DX37:EA37"/>
    <mergeCell ref="EB37:EE37"/>
    <mergeCell ref="GD37:GF37"/>
    <mergeCell ref="GG37:GI37"/>
    <mergeCell ref="GJ37:GL37"/>
    <mergeCell ref="EB30:EE30"/>
    <mergeCell ref="DR14:DT14"/>
    <mergeCell ref="DU14:DW14"/>
    <mergeCell ref="DR13:DT13"/>
    <mergeCell ref="GP37:GS37"/>
    <mergeCell ref="GT37:GW37"/>
    <mergeCell ref="EU37:EW37"/>
    <mergeCell ref="EX37:EZ37"/>
    <mergeCell ref="FA37:FC37"/>
    <mergeCell ref="FD37:FF37"/>
    <mergeCell ref="FG37:FJ37"/>
    <mergeCell ref="FK37:FN37"/>
    <mergeCell ref="GM37:GO37"/>
    <mergeCell ref="FK36:FN36"/>
    <mergeCell ref="FX36:FZ36"/>
    <mergeCell ref="GM36:GO36"/>
    <mergeCell ref="GD36:GF36"/>
    <mergeCell ref="GG36:GI36"/>
    <mergeCell ref="GJ36:GL36"/>
    <mergeCell ref="GD28:GF28"/>
    <mergeCell ref="GG28:GI28"/>
    <mergeCell ref="GJ28:GL28"/>
    <mergeCell ref="GM28:GO28"/>
    <mergeCell ref="FG27:FJ27"/>
    <mergeCell ref="GP36:GS36"/>
    <mergeCell ref="GT36:GW36"/>
    <mergeCell ref="EX36:EZ36"/>
    <mergeCell ref="CS37:CV37"/>
    <mergeCell ref="AT37:AV37"/>
    <mergeCell ref="AW37:AY37"/>
    <mergeCell ref="AZ37:BB37"/>
    <mergeCell ref="BC37:BE37"/>
    <mergeCell ref="BF37:BI37"/>
    <mergeCell ref="BJ37:BM37"/>
    <mergeCell ref="BF36:BI36"/>
    <mergeCell ref="BJ36:BM36"/>
    <mergeCell ref="BW36:BY36"/>
    <mergeCell ref="CC36:CE36"/>
    <mergeCell ref="CF36:CH36"/>
    <mergeCell ref="CI36:CK36"/>
    <mergeCell ref="DL37:DN37"/>
    <mergeCell ref="DO37:DQ37"/>
    <mergeCell ref="DR37:DT37"/>
    <mergeCell ref="DU37:DW37"/>
    <mergeCell ref="K37:M37"/>
    <mergeCell ref="N37:P37"/>
    <mergeCell ref="Q37:S37"/>
    <mergeCell ref="T37:V37"/>
    <mergeCell ref="W37:Z37"/>
    <mergeCell ref="AA37:AD37"/>
    <mergeCell ref="FA36:FC36"/>
    <mergeCell ref="FD36:FF36"/>
    <mergeCell ref="FG36:FJ36"/>
    <mergeCell ref="DR36:DT36"/>
    <mergeCell ref="DU36:DW36"/>
    <mergeCell ref="DX36:EA36"/>
    <mergeCell ref="EB36:EE36"/>
    <mergeCell ref="EO36:EQ36"/>
    <mergeCell ref="EU36:EW36"/>
    <mergeCell ref="AW36:AY36"/>
    <mergeCell ref="AZ36:BB36"/>
    <mergeCell ref="BC36:BE36"/>
    <mergeCell ref="CL36:CN36"/>
    <mergeCell ref="CO36:CR36"/>
    <mergeCell ref="CS36:CV36"/>
    <mergeCell ref="DF36:DH36"/>
    <mergeCell ref="DL36:DN36"/>
    <mergeCell ref="DO36:DQ36"/>
    <mergeCell ref="AA36:AD36"/>
    <mergeCell ref="AN36:AP36"/>
    <mergeCell ref="AT36:AV36"/>
    <mergeCell ref="CC37:CE37"/>
    <mergeCell ref="CF37:CH37"/>
    <mergeCell ref="CI37:CK37"/>
    <mergeCell ref="CL37:CN37"/>
    <mergeCell ref="CO37:CR37"/>
    <mergeCell ref="GP29:GS29"/>
    <mergeCell ref="GT29:GW29"/>
    <mergeCell ref="EU29:EW29"/>
    <mergeCell ref="EX29:EZ29"/>
    <mergeCell ref="FA29:FC29"/>
    <mergeCell ref="FD29:FF29"/>
    <mergeCell ref="FG29:FJ29"/>
    <mergeCell ref="FK29:FN29"/>
    <mergeCell ref="DL29:DN29"/>
    <mergeCell ref="DO29:DQ29"/>
    <mergeCell ref="DR29:DT29"/>
    <mergeCell ref="DU29:DW29"/>
    <mergeCell ref="DX29:EA29"/>
    <mergeCell ref="EB29:EE29"/>
    <mergeCell ref="GD29:GF29"/>
    <mergeCell ref="GG29:GI29"/>
    <mergeCell ref="GJ29:GL29"/>
    <mergeCell ref="GM29:GO29"/>
    <mergeCell ref="AT29:AV29"/>
    <mergeCell ref="AW29:AY29"/>
    <mergeCell ref="AZ29:BB29"/>
    <mergeCell ref="BC29:BE29"/>
    <mergeCell ref="BF29:BI29"/>
    <mergeCell ref="BJ29:BM29"/>
    <mergeCell ref="K29:M29"/>
    <mergeCell ref="N29:P29"/>
    <mergeCell ref="Q29:S29"/>
    <mergeCell ref="T29:V29"/>
    <mergeCell ref="W29:Z29"/>
    <mergeCell ref="AA29:AD29"/>
    <mergeCell ref="E36:G36"/>
    <mergeCell ref="K36:M36"/>
    <mergeCell ref="N36:P36"/>
    <mergeCell ref="Q36:S36"/>
    <mergeCell ref="T36:V36"/>
    <mergeCell ref="W36:Z36"/>
    <mergeCell ref="AR33:AS33"/>
    <mergeCell ref="AT33:AV33"/>
    <mergeCell ref="AW33:AY33"/>
    <mergeCell ref="AZ33:BB33"/>
    <mergeCell ref="BC33:BE33"/>
    <mergeCell ref="BF33:BI33"/>
    <mergeCell ref="BJ33:BM33"/>
    <mergeCell ref="AT34:AV34"/>
    <mergeCell ref="AW34:AY34"/>
    <mergeCell ref="AZ34:BB34"/>
    <mergeCell ref="BC34:BE34"/>
    <mergeCell ref="BF34:BI34"/>
    <mergeCell ref="BJ34:BM34"/>
    <mergeCell ref="AT35:AV35"/>
    <mergeCell ref="DR28:DT28"/>
    <mergeCell ref="DU28:DW28"/>
    <mergeCell ref="DX28:EA28"/>
    <mergeCell ref="EB28:EE28"/>
    <mergeCell ref="ES28:ET28"/>
    <mergeCell ref="EU28:EW28"/>
    <mergeCell ref="AW28:AY28"/>
    <mergeCell ref="AZ28:BB28"/>
    <mergeCell ref="BC28:BE28"/>
    <mergeCell ref="CO28:CR28"/>
    <mergeCell ref="CS28:CV28"/>
    <mergeCell ref="DJ28:DK28"/>
    <mergeCell ref="DL28:DN28"/>
    <mergeCell ref="DO28:DQ28"/>
    <mergeCell ref="BF28:BI28"/>
    <mergeCell ref="BJ28:BM28"/>
    <mergeCell ref="CA28:CB28"/>
    <mergeCell ref="CC28:CE28"/>
    <mergeCell ref="CF28:CH28"/>
    <mergeCell ref="CI28:CK28"/>
    <mergeCell ref="I28:J28"/>
    <mergeCell ref="K28:M28"/>
    <mergeCell ref="N28:P28"/>
    <mergeCell ref="Q28:S28"/>
    <mergeCell ref="T28:V28"/>
    <mergeCell ref="W28:Z28"/>
    <mergeCell ref="EX27:EZ27"/>
    <mergeCell ref="FA27:FC27"/>
    <mergeCell ref="FD27:FF27"/>
    <mergeCell ref="DR27:DT27"/>
    <mergeCell ref="DU27:DW27"/>
    <mergeCell ref="DX27:EA27"/>
    <mergeCell ref="EB27:EE27"/>
    <mergeCell ref="ES27:ET27"/>
    <mergeCell ref="EU27:EW27"/>
    <mergeCell ref="BF27:BI27"/>
    <mergeCell ref="BJ27:BM27"/>
    <mergeCell ref="CA27:CB27"/>
    <mergeCell ref="CC27:CE27"/>
    <mergeCell ref="CF27:CH27"/>
    <mergeCell ref="CI27:CK27"/>
    <mergeCell ref="AA27:AD27"/>
    <mergeCell ref="AR27:AS27"/>
    <mergeCell ref="AT27:AV27"/>
    <mergeCell ref="AA28:AD28"/>
    <mergeCell ref="AR28:AS28"/>
    <mergeCell ref="AT28:AV28"/>
    <mergeCell ref="EX28:EZ28"/>
    <mergeCell ref="FA28:FC28"/>
    <mergeCell ref="FD28:FF28"/>
    <mergeCell ref="AW27:AY27"/>
    <mergeCell ref="AZ27:BB27"/>
    <mergeCell ref="BC27:BE27"/>
    <mergeCell ref="I27:J27"/>
    <mergeCell ref="K27:M27"/>
    <mergeCell ref="N27:P27"/>
    <mergeCell ref="Q27:S27"/>
    <mergeCell ref="T27:V27"/>
    <mergeCell ref="W27:Z27"/>
    <mergeCell ref="GD27:GF27"/>
    <mergeCell ref="GG27:GI27"/>
    <mergeCell ref="GJ27:GL27"/>
    <mergeCell ref="GM27:GO27"/>
    <mergeCell ref="CL27:CN27"/>
    <mergeCell ref="CO27:CR27"/>
    <mergeCell ref="CS27:CV27"/>
    <mergeCell ref="DJ27:DK27"/>
    <mergeCell ref="DL27:DN27"/>
    <mergeCell ref="DO27:DQ27"/>
    <mergeCell ref="CC26:CE26"/>
    <mergeCell ref="CF26:CH26"/>
    <mergeCell ref="CI26:CK26"/>
    <mergeCell ref="AA26:AD26"/>
    <mergeCell ref="AR26:AS26"/>
    <mergeCell ref="AT26:AV26"/>
    <mergeCell ref="AW26:AY26"/>
    <mergeCell ref="AZ26:BB26"/>
    <mergeCell ref="BC26:BE26"/>
    <mergeCell ref="GD26:GF26"/>
    <mergeCell ref="GG26:GI26"/>
    <mergeCell ref="GJ26:GL26"/>
    <mergeCell ref="GM26:GO26"/>
    <mergeCell ref="CL26:CN26"/>
    <mergeCell ref="CO26:CR26"/>
    <mergeCell ref="CS26:CV26"/>
    <mergeCell ref="DJ26:DK26"/>
    <mergeCell ref="DL26:DN26"/>
    <mergeCell ref="DO26:DQ26"/>
    <mergeCell ref="EX26:EZ26"/>
    <mergeCell ref="FA26:FC26"/>
    <mergeCell ref="FD26:FF26"/>
    <mergeCell ref="FG26:FJ26"/>
    <mergeCell ref="FK26:FN26"/>
    <mergeCell ref="GB26:GC26"/>
    <mergeCell ref="DR26:DT26"/>
    <mergeCell ref="DU26:DW26"/>
    <mergeCell ref="DX26:EA26"/>
    <mergeCell ref="EB26:EE26"/>
    <mergeCell ref="BF25:BI25"/>
    <mergeCell ref="BJ25:BM25"/>
    <mergeCell ref="CA25:CB25"/>
    <mergeCell ref="CC25:CE25"/>
    <mergeCell ref="CF25:CH25"/>
    <mergeCell ref="I26:J26"/>
    <mergeCell ref="K26:M26"/>
    <mergeCell ref="N26:P26"/>
    <mergeCell ref="Q26:S26"/>
    <mergeCell ref="T26:V26"/>
    <mergeCell ref="W26:Z26"/>
    <mergeCell ref="GP25:GS25"/>
    <mergeCell ref="GT25:GW25"/>
    <mergeCell ref="EX25:EZ25"/>
    <mergeCell ref="FA25:FC25"/>
    <mergeCell ref="FD25:FF25"/>
    <mergeCell ref="FG25:FJ25"/>
    <mergeCell ref="FK25:FN25"/>
    <mergeCell ref="GB25:GC25"/>
    <mergeCell ref="GD25:GF25"/>
    <mergeCell ref="DU25:DW25"/>
    <mergeCell ref="DX25:EA25"/>
    <mergeCell ref="EB25:EE25"/>
    <mergeCell ref="ES25:ET25"/>
    <mergeCell ref="EU25:EW25"/>
    <mergeCell ref="CL25:CN25"/>
    <mergeCell ref="CO25:CR25"/>
    <mergeCell ref="CS25:CV25"/>
    <mergeCell ref="DJ25:DK25"/>
    <mergeCell ref="BF26:BI26"/>
    <mergeCell ref="BJ26:BM26"/>
    <mergeCell ref="CA26:CB26"/>
    <mergeCell ref="DX24:EA24"/>
    <mergeCell ref="EB24:EE24"/>
    <mergeCell ref="ES24:ET24"/>
    <mergeCell ref="EU24:EW24"/>
    <mergeCell ref="AW24:AY24"/>
    <mergeCell ref="AZ24:BB24"/>
    <mergeCell ref="BC24:BE24"/>
    <mergeCell ref="I24:J24"/>
    <mergeCell ref="K24:M24"/>
    <mergeCell ref="N24:P24"/>
    <mergeCell ref="Q24:S24"/>
    <mergeCell ref="T24:V24"/>
    <mergeCell ref="W24:Z24"/>
    <mergeCell ref="I25:J25"/>
    <mergeCell ref="K25:M25"/>
    <mergeCell ref="N25:P25"/>
    <mergeCell ref="Q25:S25"/>
    <mergeCell ref="T25:V25"/>
    <mergeCell ref="W25:Z25"/>
    <mergeCell ref="AA24:AD24"/>
    <mergeCell ref="AR24:AS24"/>
    <mergeCell ref="AT24:AV24"/>
    <mergeCell ref="DL25:DN25"/>
    <mergeCell ref="DO25:DQ25"/>
    <mergeCell ref="DR25:DT25"/>
    <mergeCell ref="CI25:CK25"/>
    <mergeCell ref="AA25:AD25"/>
    <mergeCell ref="AR25:AS25"/>
    <mergeCell ref="AT25:AV25"/>
    <mergeCell ref="AW25:AY25"/>
    <mergeCell ref="AZ25:BB25"/>
    <mergeCell ref="BC25:BE25"/>
    <mergeCell ref="GP24:GS24"/>
    <mergeCell ref="GT24:GW24"/>
    <mergeCell ref="EX24:EZ24"/>
    <mergeCell ref="FA24:FC24"/>
    <mergeCell ref="FD24:FF24"/>
    <mergeCell ref="FG24:FJ24"/>
    <mergeCell ref="FK24:FN24"/>
    <mergeCell ref="GB24:GC24"/>
    <mergeCell ref="CC24:CE24"/>
    <mergeCell ref="CF24:CH24"/>
    <mergeCell ref="CI24:CK24"/>
    <mergeCell ref="GP23:GS23"/>
    <mergeCell ref="GT23:GW23"/>
    <mergeCell ref="DR23:DT23"/>
    <mergeCell ref="DU23:DW23"/>
    <mergeCell ref="DX23:EA23"/>
    <mergeCell ref="CO24:CR24"/>
    <mergeCell ref="CS24:CV24"/>
    <mergeCell ref="DJ24:DK24"/>
    <mergeCell ref="DL24:DN24"/>
    <mergeCell ref="EB23:EE23"/>
    <mergeCell ref="ES23:ET23"/>
    <mergeCell ref="EU23:EW23"/>
    <mergeCell ref="CL23:CN23"/>
    <mergeCell ref="CO23:CR23"/>
    <mergeCell ref="CS23:CV23"/>
    <mergeCell ref="DJ23:DK23"/>
    <mergeCell ref="DL23:DN23"/>
    <mergeCell ref="DO23:DQ23"/>
    <mergeCell ref="CC23:CE23"/>
    <mergeCell ref="CF23:CH23"/>
    <mergeCell ref="CI23:CK23"/>
    <mergeCell ref="I23:J23"/>
    <mergeCell ref="K23:M23"/>
    <mergeCell ref="N23:P23"/>
    <mergeCell ref="Q23:S23"/>
    <mergeCell ref="T23:V23"/>
    <mergeCell ref="W23:Z23"/>
    <mergeCell ref="DO24:DQ24"/>
    <mergeCell ref="BF24:BI24"/>
    <mergeCell ref="GM23:GO23"/>
    <mergeCell ref="EX23:EZ23"/>
    <mergeCell ref="FA23:FC23"/>
    <mergeCell ref="FD23:FF23"/>
    <mergeCell ref="FG23:FJ23"/>
    <mergeCell ref="FK23:FN23"/>
    <mergeCell ref="GB23:GC23"/>
    <mergeCell ref="AA23:AD23"/>
    <mergeCell ref="AR23:AS23"/>
    <mergeCell ref="AT23:AV23"/>
    <mergeCell ref="AW23:AY23"/>
    <mergeCell ref="AZ23:BB23"/>
    <mergeCell ref="BC23:BE23"/>
    <mergeCell ref="GD23:GF23"/>
    <mergeCell ref="GG23:GI23"/>
    <mergeCell ref="GJ23:GL23"/>
    <mergeCell ref="BF23:BI23"/>
    <mergeCell ref="BJ23:BM23"/>
    <mergeCell ref="CA23:CB23"/>
    <mergeCell ref="GM24:GO24"/>
    <mergeCell ref="BJ24:BM24"/>
    <mergeCell ref="CA24:CB24"/>
    <mergeCell ref="GD24:GF24"/>
    <mergeCell ref="GG24:GI24"/>
    <mergeCell ref="GP21:GS21"/>
    <mergeCell ref="GT21:GW21"/>
    <mergeCell ref="EU21:EW21"/>
    <mergeCell ref="EX21:EZ21"/>
    <mergeCell ref="FA21:FC21"/>
    <mergeCell ref="FD21:FF21"/>
    <mergeCell ref="FG21:FJ21"/>
    <mergeCell ref="FK21:FN21"/>
    <mergeCell ref="DL21:DN21"/>
    <mergeCell ref="DO21:DQ21"/>
    <mergeCell ref="DR21:DT21"/>
    <mergeCell ref="DU21:DW21"/>
    <mergeCell ref="DX21:EA21"/>
    <mergeCell ref="EB21:EE21"/>
    <mergeCell ref="GM22:GO22"/>
    <mergeCell ref="GP22:GS22"/>
    <mergeCell ref="GT22:GW22"/>
    <mergeCell ref="EU22:EW22"/>
    <mergeCell ref="EX22:EZ22"/>
    <mergeCell ref="GD22:GF22"/>
    <mergeCell ref="GG22:GI22"/>
    <mergeCell ref="GJ22:GL22"/>
    <mergeCell ref="DL22:DN22"/>
    <mergeCell ref="DO22:DQ22"/>
    <mergeCell ref="DR22:DT22"/>
    <mergeCell ref="DU22:DW22"/>
    <mergeCell ref="DX22:EA22"/>
    <mergeCell ref="EB22:EE22"/>
    <mergeCell ref="FA22:FC22"/>
    <mergeCell ref="FD22:FF22"/>
    <mergeCell ref="FG22:FJ22"/>
    <mergeCell ref="FK22:FN22"/>
    <mergeCell ref="AT21:AV21"/>
    <mergeCell ref="AW21:AY21"/>
    <mergeCell ref="AZ21:BB21"/>
    <mergeCell ref="BC21:BE21"/>
    <mergeCell ref="BF21:BI21"/>
    <mergeCell ref="BJ21:BM21"/>
    <mergeCell ref="K21:M21"/>
    <mergeCell ref="N21:P21"/>
    <mergeCell ref="Q21:S21"/>
    <mergeCell ref="T21:V21"/>
    <mergeCell ref="W21:Z21"/>
    <mergeCell ref="AA21:AD21"/>
    <mergeCell ref="CO22:CR22"/>
    <mergeCell ref="CS22:CV22"/>
    <mergeCell ref="AT22:AV22"/>
    <mergeCell ref="AW22:AY22"/>
    <mergeCell ref="AZ22:BB22"/>
    <mergeCell ref="BC22:BE22"/>
    <mergeCell ref="BF22:BI22"/>
    <mergeCell ref="BJ22:BM22"/>
    <mergeCell ref="K22:M22"/>
    <mergeCell ref="N22:P22"/>
    <mergeCell ref="Q22:S22"/>
    <mergeCell ref="T22:V22"/>
    <mergeCell ref="W22:Z22"/>
    <mergeCell ref="AA22:AD22"/>
    <mergeCell ref="CO21:CR21"/>
    <mergeCell ref="CS21:CV21"/>
    <mergeCell ref="GP20:GW20"/>
    <mergeCell ref="DL20:DN20"/>
    <mergeCell ref="DO20:DQ20"/>
    <mergeCell ref="DR20:DW20"/>
    <mergeCell ref="DX20:EE20"/>
    <mergeCell ref="EU20:EW20"/>
    <mergeCell ref="EX20:EZ20"/>
    <mergeCell ref="AZ20:BE20"/>
    <mergeCell ref="BF20:BM20"/>
    <mergeCell ref="CC20:CE20"/>
    <mergeCell ref="CF20:CH20"/>
    <mergeCell ref="CI20:CN20"/>
    <mergeCell ref="CO20:CV20"/>
    <mergeCell ref="FA20:FF20"/>
    <mergeCell ref="FG20:FN20"/>
    <mergeCell ref="GD20:GF20"/>
    <mergeCell ref="GG20:GI20"/>
    <mergeCell ref="GJ20:GO20"/>
    <mergeCell ref="EP14:EQ14"/>
    <mergeCell ref="ER14:ET14"/>
    <mergeCell ref="EU14:EW14"/>
    <mergeCell ref="EX14:EZ14"/>
    <mergeCell ref="FA14:FC14"/>
    <mergeCell ref="FD14:FF14"/>
    <mergeCell ref="DG14:DH14"/>
    <mergeCell ref="DI14:DK14"/>
    <mergeCell ref="DL14:DN14"/>
    <mergeCell ref="DO14:DQ14"/>
    <mergeCell ref="K20:M20"/>
    <mergeCell ref="N20:P20"/>
    <mergeCell ref="Q20:V20"/>
    <mergeCell ref="W20:AD20"/>
    <mergeCell ref="AT20:AV20"/>
    <mergeCell ref="AW20:AY20"/>
    <mergeCell ref="FY14:FZ14"/>
    <mergeCell ref="AZ14:BB14"/>
    <mergeCell ref="BC14:BE14"/>
    <mergeCell ref="GD14:GF14"/>
    <mergeCell ref="BX14:BY14"/>
    <mergeCell ref="BZ14:CB14"/>
    <mergeCell ref="CC14:CE14"/>
    <mergeCell ref="CF14:CH14"/>
    <mergeCell ref="CI14:CK14"/>
    <mergeCell ref="CL14:CN14"/>
    <mergeCell ref="AO14:AP14"/>
    <mergeCell ref="AQ14:AS14"/>
    <mergeCell ref="AT14:AV14"/>
    <mergeCell ref="AW14:AY14"/>
    <mergeCell ref="DO13:DQ13"/>
    <mergeCell ref="DU13:DW13"/>
    <mergeCell ref="F14:G14"/>
    <mergeCell ref="H14:J14"/>
    <mergeCell ref="K14:M14"/>
    <mergeCell ref="N14:P14"/>
    <mergeCell ref="Q14:S14"/>
    <mergeCell ref="T14:V14"/>
    <mergeCell ref="FY13:FZ13"/>
    <mergeCell ref="GA13:GC13"/>
    <mergeCell ref="GD13:GF13"/>
    <mergeCell ref="BX13:BY13"/>
    <mergeCell ref="BZ13:CB13"/>
    <mergeCell ref="CC13:CE13"/>
    <mergeCell ref="CF13:CH13"/>
    <mergeCell ref="CI13:CK13"/>
    <mergeCell ref="CL13:CN13"/>
    <mergeCell ref="AO13:AP13"/>
    <mergeCell ref="AQ13:AS13"/>
    <mergeCell ref="AT13:AV13"/>
    <mergeCell ref="AW13:AY13"/>
    <mergeCell ref="F13:G13"/>
    <mergeCell ref="H13:J13"/>
    <mergeCell ref="K13:M13"/>
    <mergeCell ref="N13:P13"/>
    <mergeCell ref="Q13:S13"/>
    <mergeCell ref="FY12:FZ12"/>
    <mergeCell ref="GA12:GC12"/>
    <mergeCell ref="GD12:GF12"/>
    <mergeCell ref="GG12:GI12"/>
    <mergeCell ref="EP12:EQ12"/>
    <mergeCell ref="ER12:ET12"/>
    <mergeCell ref="EU12:EW12"/>
    <mergeCell ref="EX12:EZ12"/>
    <mergeCell ref="FA12:FC12"/>
    <mergeCell ref="FD12:FF12"/>
    <mergeCell ref="GG13:GI13"/>
    <mergeCell ref="EP13:EQ13"/>
    <mergeCell ref="ER13:ET13"/>
    <mergeCell ref="EU13:EW13"/>
    <mergeCell ref="EX13:EZ13"/>
    <mergeCell ref="FA13:FC13"/>
    <mergeCell ref="FD13:FF13"/>
    <mergeCell ref="BZ12:CB12"/>
    <mergeCell ref="F12:G12"/>
    <mergeCell ref="H12:J12"/>
    <mergeCell ref="K12:M12"/>
    <mergeCell ref="N12:P12"/>
    <mergeCell ref="Q12:S12"/>
    <mergeCell ref="T12:V12"/>
    <mergeCell ref="AZ12:BB12"/>
    <mergeCell ref="BC12:BE12"/>
    <mergeCell ref="FY11:FZ11"/>
    <mergeCell ref="DG11:DH11"/>
    <mergeCell ref="DI11:DK11"/>
    <mergeCell ref="DL11:DN11"/>
    <mergeCell ref="DO11:DQ11"/>
    <mergeCell ref="DR11:DT11"/>
    <mergeCell ref="DU11:DW11"/>
    <mergeCell ref="CF11:CH11"/>
    <mergeCell ref="CI11:CK11"/>
    <mergeCell ref="CL11:CN11"/>
    <mergeCell ref="AO11:AP11"/>
    <mergeCell ref="AQ11:AS11"/>
    <mergeCell ref="AT11:AV11"/>
    <mergeCell ref="AW11:AY11"/>
    <mergeCell ref="BX11:BY11"/>
    <mergeCell ref="BZ11:CB11"/>
    <mergeCell ref="DG12:DH12"/>
    <mergeCell ref="DI12:DK12"/>
    <mergeCell ref="DL12:DN12"/>
    <mergeCell ref="DO12:DQ12"/>
    <mergeCell ref="DR12:DT12"/>
    <mergeCell ref="DU12:DW12"/>
    <mergeCell ref="BX12:BY12"/>
    <mergeCell ref="GG10:GI10"/>
    <mergeCell ref="EP10:EQ10"/>
    <mergeCell ref="ER10:ET10"/>
    <mergeCell ref="EU10:EW10"/>
    <mergeCell ref="EX10:EZ10"/>
    <mergeCell ref="FA10:FC10"/>
    <mergeCell ref="FD10:FF10"/>
    <mergeCell ref="F11:G11"/>
    <mergeCell ref="H11:J11"/>
    <mergeCell ref="K11:M11"/>
    <mergeCell ref="N11:P11"/>
    <mergeCell ref="Q11:S11"/>
    <mergeCell ref="T11:V11"/>
    <mergeCell ref="AZ11:BB11"/>
    <mergeCell ref="BC11:BE11"/>
    <mergeCell ref="F10:G10"/>
    <mergeCell ref="H10:J10"/>
    <mergeCell ref="K10:M10"/>
    <mergeCell ref="N10:P10"/>
    <mergeCell ref="T10:V10"/>
    <mergeCell ref="AZ10:BB10"/>
    <mergeCell ref="BC10:BE10"/>
    <mergeCell ref="GA11:GC11"/>
    <mergeCell ref="GD11:GF11"/>
    <mergeCell ref="GG11:GI11"/>
    <mergeCell ref="EP11:EQ11"/>
    <mergeCell ref="ER11:ET11"/>
    <mergeCell ref="EU11:EW11"/>
    <mergeCell ref="EX11:EZ11"/>
    <mergeCell ref="FA11:FC11"/>
    <mergeCell ref="FD11:FF11"/>
    <mergeCell ref="F9:G9"/>
    <mergeCell ref="H9:J9"/>
    <mergeCell ref="K9:M9"/>
    <mergeCell ref="N9:P9"/>
    <mergeCell ref="AZ9:BB9"/>
    <mergeCell ref="BC9:BE9"/>
    <mergeCell ref="FY10:FZ10"/>
    <mergeCell ref="H7:J7"/>
    <mergeCell ref="N6:P6"/>
    <mergeCell ref="AQ7:AS7"/>
    <mergeCell ref="AW7:AY7"/>
    <mergeCell ref="DG9:DH9"/>
    <mergeCell ref="DI9:DK9"/>
    <mergeCell ref="DL9:DN9"/>
    <mergeCell ref="DU9:DW9"/>
    <mergeCell ref="BZ10:CB10"/>
    <mergeCell ref="CC10:CE10"/>
    <mergeCell ref="BZ8:CB8"/>
    <mergeCell ref="CL8:CN8"/>
    <mergeCell ref="BC7:BE7"/>
    <mergeCell ref="BC8:BE8"/>
    <mergeCell ref="AW9:AY9"/>
    <mergeCell ref="DO9:DQ9"/>
    <mergeCell ref="DU8:DW8"/>
    <mergeCell ref="DL8:DN8"/>
    <mergeCell ref="CI9:CK9"/>
    <mergeCell ref="K8:M8"/>
    <mergeCell ref="N8:P8"/>
    <mergeCell ref="Q8:S8"/>
    <mergeCell ref="T8:V8"/>
    <mergeCell ref="DI7:DK7"/>
    <mergeCell ref="DU7:DW7"/>
    <mergeCell ref="DO7:DQ7"/>
    <mergeCell ref="BX9:BY9"/>
    <mergeCell ref="BZ9:CB9"/>
    <mergeCell ref="CC9:CE9"/>
    <mergeCell ref="CF9:CH9"/>
    <mergeCell ref="CL9:CN9"/>
    <mergeCell ref="FY9:FZ9"/>
    <mergeCell ref="GA9:GC9"/>
    <mergeCell ref="GD9:GF9"/>
    <mergeCell ref="DG10:DH10"/>
    <mergeCell ref="DI10:DK10"/>
    <mergeCell ref="DL10:DN10"/>
    <mergeCell ref="DO10:DQ10"/>
    <mergeCell ref="DR10:DT10"/>
    <mergeCell ref="DU10:DW10"/>
    <mergeCell ref="AQ10:AS10"/>
    <mergeCell ref="GA10:GC10"/>
    <mergeCell ref="GD10:GF10"/>
    <mergeCell ref="GG9:GI9"/>
    <mergeCell ref="EP9:EQ9"/>
    <mergeCell ref="ER9:ET9"/>
    <mergeCell ref="EU9:EW9"/>
    <mergeCell ref="EX9:EZ9"/>
    <mergeCell ref="FA9:FC9"/>
    <mergeCell ref="FD9:FF9"/>
    <mergeCell ref="H5:J5"/>
    <mergeCell ref="FD7:FF7"/>
    <mergeCell ref="DL30:DN30"/>
    <mergeCell ref="DR30:DT30"/>
    <mergeCell ref="DX30:EA30"/>
    <mergeCell ref="ER8:ET8"/>
    <mergeCell ref="EU8:EW8"/>
    <mergeCell ref="FD8:FF8"/>
    <mergeCell ref="H8:J8"/>
    <mergeCell ref="N7:P7"/>
    <mergeCell ref="AQ8:AS8"/>
    <mergeCell ref="ER7:ET7"/>
    <mergeCell ref="EX7:EZ7"/>
    <mergeCell ref="CF8:CH8"/>
    <mergeCell ref="DI8:DK8"/>
    <mergeCell ref="CF10:CH10"/>
    <mergeCell ref="CI10:CK10"/>
    <mergeCell ref="CL10:CN10"/>
    <mergeCell ref="AO10:AP10"/>
    <mergeCell ref="BX10:BY10"/>
    <mergeCell ref="BZ7:CB7"/>
    <mergeCell ref="AW8:AY8"/>
    <mergeCell ref="BC6:BE6"/>
    <mergeCell ref="BZ5:CB5"/>
    <mergeCell ref="CC5:CH5"/>
    <mergeCell ref="CI5:CN5"/>
    <mergeCell ref="CC6:CE6"/>
    <mergeCell ref="CF6:CH6"/>
    <mergeCell ref="CI6:CK6"/>
    <mergeCell ref="CL6:CN6"/>
    <mergeCell ref="DI5:DK5"/>
    <mergeCell ref="DL31:DN31"/>
    <mergeCell ref="DO31:DQ31"/>
    <mergeCell ref="DR31:DT31"/>
    <mergeCell ref="DU31:DW31"/>
    <mergeCell ref="DX31:EA31"/>
    <mergeCell ref="EB31:EE31"/>
    <mergeCell ref="DO30:DQ30"/>
    <mergeCell ref="DL34:DN34"/>
    <mergeCell ref="DO34:DQ34"/>
    <mergeCell ref="DR34:DT34"/>
    <mergeCell ref="DU34:DW34"/>
    <mergeCell ref="DX34:EA34"/>
    <mergeCell ref="EB34:EE34"/>
    <mergeCell ref="DL33:DN33"/>
    <mergeCell ref="DR33:DT33"/>
    <mergeCell ref="CC12:CE12"/>
    <mergeCell ref="CF12:CH12"/>
    <mergeCell ref="CI12:CK12"/>
    <mergeCell ref="CL12:CN12"/>
    <mergeCell ref="DG13:DH13"/>
    <mergeCell ref="DI13:DK13"/>
    <mergeCell ref="DL13:DN13"/>
    <mergeCell ref="DO8:DQ8"/>
    <mergeCell ref="DR9:DT9"/>
    <mergeCell ref="DR24:DT24"/>
    <mergeCell ref="DU24:DW24"/>
    <mergeCell ref="GA5:GC5"/>
    <mergeCell ref="GD5:GI5"/>
    <mergeCell ref="GJ5:GO5"/>
    <mergeCell ref="GD6:GF6"/>
    <mergeCell ref="GG6:GI6"/>
    <mergeCell ref="GJ6:GL6"/>
    <mergeCell ref="GM6:GO6"/>
    <mergeCell ref="DL5:DQ5"/>
    <mergeCell ref="DR5:DW5"/>
    <mergeCell ref="DL6:DN6"/>
    <mergeCell ref="DO6:DQ6"/>
    <mergeCell ref="DR6:DT6"/>
    <mergeCell ref="DU6:DW6"/>
    <mergeCell ref="ER5:ET5"/>
    <mergeCell ref="EU5:EZ5"/>
    <mergeCell ref="FA5:FF5"/>
    <mergeCell ref="EU6:EW6"/>
    <mergeCell ref="EX6:EZ6"/>
    <mergeCell ref="FA6:FC6"/>
    <mergeCell ref="FD6:FF6"/>
  </mergeCells>
  <phoneticPr fontId="1"/>
  <pageMargins left="0.70866141732283472" right="0.70866141732283472" top="0.74803149606299213" bottom="0.74803149606299213" header="0.31496062992125984" footer="0.31496062992125984"/>
  <pageSetup paperSize="9" scale="72" orientation="portrait" r:id="rId1"/>
  <colBreaks count="5" manualBreakCount="5">
    <brk id="35" max="1048575" man="1"/>
    <brk id="70" max="1048575" man="1"/>
    <brk id="105" max="1048575" man="1"/>
    <brk id="140" max="1048575" man="1"/>
    <brk id="17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F57CA-970B-4453-8380-D921F8F468EF}">
  <dimension ref="B2:BR39"/>
  <sheetViews>
    <sheetView showGridLines="0" view="pageBreakPreview" zoomScale="60" zoomScaleNormal="100" workbookViewId="0">
      <selection activeCell="AG14" sqref="AG14"/>
    </sheetView>
  </sheetViews>
  <sheetFormatPr defaultRowHeight="18"/>
  <cols>
    <col min="1" max="70" width="3" customWidth="1"/>
  </cols>
  <sheetData>
    <row r="2" spans="2:66">
      <c r="B2" t="s">
        <v>495</v>
      </c>
      <c r="AL2" t="s">
        <v>455</v>
      </c>
    </row>
    <row r="3" spans="2:66">
      <c r="C3" t="s">
        <v>450</v>
      </c>
      <c r="AL3" s="218" t="s">
        <v>370</v>
      </c>
      <c r="AM3" s="218"/>
      <c r="AN3" s="292" t="s">
        <v>2</v>
      </c>
      <c r="AO3" s="310" t="s">
        <v>374</v>
      </c>
      <c r="AP3" s="310"/>
      <c r="AR3" s="292" t="s">
        <v>2</v>
      </c>
      <c r="AS3" s="93"/>
      <c r="AT3" s="310" t="s">
        <v>374</v>
      </c>
      <c r="AU3" s="310"/>
      <c r="AV3" s="10"/>
      <c r="AW3" s="10"/>
      <c r="AY3" s="292" t="s">
        <v>2</v>
      </c>
      <c r="AZ3" s="310" t="s">
        <v>374</v>
      </c>
      <c r="BA3" s="310"/>
    </row>
    <row r="4" spans="2:66">
      <c r="C4" s="260" t="s">
        <v>345</v>
      </c>
      <c r="D4" s="260"/>
      <c r="E4" s="292" t="s">
        <v>2</v>
      </c>
      <c r="F4" s="310" t="s">
        <v>36</v>
      </c>
      <c r="G4" s="310"/>
      <c r="H4" s="420" t="s">
        <v>82</v>
      </c>
      <c r="I4" s="293" t="s">
        <v>347</v>
      </c>
      <c r="J4" s="293"/>
      <c r="K4" s="293"/>
      <c r="L4" s="293"/>
      <c r="M4" s="293"/>
      <c r="AL4" s="218"/>
      <c r="AM4" s="218"/>
      <c r="AN4" s="292"/>
      <c r="AO4" s="421" t="s">
        <v>371</v>
      </c>
      <c r="AP4" s="421"/>
      <c r="AR4" s="292"/>
      <c r="AS4" s="297">
        <f>G15</f>
        <v>1.1000000000000001</v>
      </c>
      <c r="AT4" s="297"/>
      <c r="AU4" s="1" t="s">
        <v>43</v>
      </c>
      <c r="AV4" s="297">
        <f>Q24</f>
        <v>1</v>
      </c>
      <c r="AW4" s="297"/>
      <c r="AY4" s="292"/>
      <c r="AZ4" s="344">
        <f>AS4*AV4</f>
        <v>1.1000000000000001</v>
      </c>
      <c r="BA4" s="344"/>
    </row>
    <row r="5" spans="2:66">
      <c r="C5" s="260"/>
      <c r="D5" s="260"/>
      <c r="E5" s="292"/>
      <c r="F5" s="319">
        <v>2</v>
      </c>
      <c r="G5" s="319"/>
      <c r="H5" s="292"/>
      <c r="I5" s="260" t="s">
        <v>161</v>
      </c>
      <c r="J5" s="260"/>
      <c r="K5" s="260"/>
      <c r="L5" s="260"/>
      <c r="M5" s="260"/>
      <c r="AL5" t="s">
        <v>183</v>
      </c>
    </row>
    <row r="6" spans="2:66">
      <c r="AL6" s="218" t="s">
        <v>370</v>
      </c>
      <c r="AM6" s="218"/>
      <c r="AN6" t="s">
        <v>372</v>
      </c>
    </row>
    <row r="7" spans="2:66">
      <c r="G7" s="333" t="s">
        <v>342</v>
      </c>
      <c r="H7" s="334"/>
      <c r="I7" s="334"/>
      <c r="J7" s="335" t="s">
        <v>319</v>
      </c>
      <c r="K7" s="334"/>
      <c r="L7" s="334"/>
      <c r="M7" s="333" t="s">
        <v>346</v>
      </c>
      <c r="N7" s="334"/>
      <c r="O7" s="340"/>
      <c r="P7" s="186" t="s">
        <v>343</v>
      </c>
      <c r="Q7" s="186"/>
      <c r="R7" s="186"/>
      <c r="S7" s="186"/>
      <c r="T7" s="186"/>
      <c r="U7" s="187"/>
      <c r="V7" s="333" t="s">
        <v>344</v>
      </c>
      <c r="W7" s="334"/>
      <c r="X7" s="340"/>
      <c r="Z7" s="34"/>
      <c r="AA7" s="35"/>
      <c r="AB7" s="35"/>
      <c r="AC7" s="35"/>
      <c r="AD7" s="35"/>
      <c r="AE7" s="35"/>
      <c r="AF7" s="35"/>
      <c r="AG7" s="35"/>
      <c r="AH7" s="40"/>
      <c r="AL7" s="332" t="s">
        <v>374</v>
      </c>
      <c r="AM7" s="332"/>
      <c r="AN7" t="s">
        <v>373</v>
      </c>
      <c r="AT7" s="218" t="s">
        <v>374</v>
      </c>
      <c r="AU7" s="218"/>
      <c r="AV7" t="s">
        <v>2</v>
      </c>
      <c r="AW7" s="218" t="s">
        <v>162</v>
      </c>
      <c r="AX7" s="218"/>
      <c r="AY7" s="1" t="s">
        <v>43</v>
      </c>
      <c r="AZ7" s="216">
        <v>1</v>
      </c>
      <c r="BA7" s="216"/>
    </row>
    <row r="8" spans="2:66">
      <c r="G8" s="348" t="s">
        <v>353</v>
      </c>
      <c r="H8" s="332"/>
      <c r="I8" s="332"/>
      <c r="J8" s="331" t="s">
        <v>348</v>
      </c>
      <c r="K8" s="332"/>
      <c r="L8" s="332"/>
      <c r="M8" s="348" t="s">
        <v>162</v>
      </c>
      <c r="N8" s="332"/>
      <c r="O8" s="332"/>
      <c r="P8" s="422" t="s">
        <v>185</v>
      </c>
      <c r="Q8" s="421"/>
      <c r="R8" s="423"/>
      <c r="S8" s="422" t="s">
        <v>186</v>
      </c>
      <c r="T8" s="421"/>
      <c r="U8" s="423"/>
      <c r="V8" s="348" t="s">
        <v>345</v>
      </c>
      <c r="W8" s="332"/>
      <c r="X8" s="336"/>
      <c r="Z8" s="5"/>
      <c r="AH8" s="6"/>
    </row>
    <row r="9" spans="2:66">
      <c r="G9" s="401" t="s">
        <v>274</v>
      </c>
      <c r="H9" s="140"/>
      <c r="I9" s="140"/>
      <c r="J9" s="399" t="s">
        <v>101</v>
      </c>
      <c r="K9" s="140"/>
      <c r="L9" s="140"/>
      <c r="M9" s="399" t="s">
        <v>101</v>
      </c>
      <c r="N9" s="140"/>
      <c r="O9" s="140"/>
      <c r="P9" s="328" t="s">
        <v>437</v>
      </c>
      <c r="Q9" s="320"/>
      <c r="R9" s="330"/>
      <c r="S9" s="328" t="s">
        <v>437</v>
      </c>
      <c r="T9" s="320"/>
      <c r="U9" s="330"/>
      <c r="V9" s="401" t="s">
        <v>274</v>
      </c>
      <c r="W9" s="140"/>
      <c r="X9" s="400"/>
      <c r="Z9" s="5"/>
      <c r="AH9" s="6"/>
      <c r="AL9" t="s">
        <v>376</v>
      </c>
      <c r="AM9" s="9"/>
      <c r="AN9" s="20"/>
      <c r="AO9" s="20"/>
      <c r="AP9" s="14"/>
      <c r="AQ9" s="23"/>
      <c r="AR9" s="23"/>
      <c r="AS9" s="23"/>
      <c r="AT9" s="23"/>
      <c r="AV9" s="14"/>
      <c r="AW9" s="12"/>
      <c r="AX9" s="12"/>
      <c r="AY9" s="12"/>
      <c r="AZ9" s="12"/>
      <c r="BA9" s="12"/>
      <c r="BB9" s="12"/>
      <c r="BD9" s="14"/>
      <c r="BE9" s="21"/>
      <c r="BF9" s="21"/>
      <c r="BG9" s="12"/>
      <c r="BI9" s="14"/>
      <c r="BJ9" s="89"/>
      <c r="BK9" s="89"/>
      <c r="BL9" s="89"/>
      <c r="BM9" s="12"/>
      <c r="BN9" s="12"/>
    </row>
    <row r="10" spans="2:66">
      <c r="D10" s="34">
        <f>'3.照査'!$F$7</f>
        <v>6</v>
      </c>
      <c r="E10" s="135" t="str">
        <f>'3.照査'!$G$7</f>
        <v>段目</v>
      </c>
      <c r="F10" s="136"/>
      <c r="G10" s="424">
        <f>'1.設計条件'!$T$7</f>
        <v>1.1000000000000001</v>
      </c>
      <c r="H10" s="425"/>
      <c r="I10" s="426"/>
      <c r="J10" s="425">
        <f>'4-2.部材'!K37</f>
        <v>18.837101708570305</v>
      </c>
      <c r="K10" s="425"/>
      <c r="L10" s="425"/>
      <c r="M10" s="424">
        <f>'4-2.部材'!N37</f>
        <v>4.2639895070704226</v>
      </c>
      <c r="N10" s="425"/>
      <c r="O10" s="426"/>
      <c r="P10" s="425">
        <f>'4-2.部材'!W37</f>
        <v>12.592431282857957</v>
      </c>
      <c r="Q10" s="425"/>
      <c r="R10" s="425"/>
      <c r="S10" s="424">
        <f>'4-2.部材'!AA37</f>
        <v>1.6692150330555473</v>
      </c>
      <c r="T10" s="425"/>
      <c r="U10" s="426"/>
      <c r="V10" s="424">
        <f>G10/2-(P10-S10)/J10</f>
        <v>-2.9877755017518437E-2</v>
      </c>
      <c r="W10" s="425"/>
      <c r="X10" s="426"/>
      <c r="Z10" s="5"/>
      <c r="AH10" s="6"/>
      <c r="AL10" s="9"/>
      <c r="AP10" s="333" t="s">
        <v>377</v>
      </c>
      <c r="AQ10" s="334"/>
      <c r="AR10" s="334"/>
      <c r="AS10" s="427" t="s">
        <v>379</v>
      </c>
      <c r="AT10" s="428"/>
      <c r="AU10" s="428"/>
      <c r="AV10" s="429"/>
      <c r="AW10" s="12"/>
      <c r="AX10" s="427" t="s">
        <v>379</v>
      </c>
      <c r="AY10" s="428"/>
      <c r="AZ10" s="428"/>
      <c r="BA10" s="429"/>
      <c r="BB10" s="14"/>
      <c r="BC10" s="128" t="s">
        <v>365</v>
      </c>
      <c r="BD10" s="129"/>
      <c r="BE10" s="130"/>
    </row>
    <row r="11" spans="2:66">
      <c r="D11" s="5">
        <f>'3.照査'!$F$8</f>
        <v>5</v>
      </c>
      <c r="E11" s="254" t="str">
        <f>'3.照査'!$G$8</f>
        <v>段目</v>
      </c>
      <c r="F11" s="254"/>
      <c r="G11" s="407">
        <f>'1.設計条件'!$T$7</f>
        <v>1.1000000000000001</v>
      </c>
      <c r="H11" s="406"/>
      <c r="I11" s="408"/>
      <c r="J11" s="406">
        <f>'4-2.部材'!AT37</f>
        <v>42.927532532558601</v>
      </c>
      <c r="K11" s="406"/>
      <c r="L11" s="406"/>
      <c r="M11" s="407">
        <f>'4-2.部材'!AW37</f>
        <v>10.36138325329968</v>
      </c>
      <c r="N11" s="406"/>
      <c r="O11" s="408"/>
      <c r="P11" s="406">
        <f>'4-2.部材'!BF37</f>
        <v>37.509681900868081</v>
      </c>
      <c r="Q11" s="406"/>
      <c r="R11" s="406"/>
      <c r="S11" s="407">
        <f>'4-2.部材'!BJ37</f>
        <v>8.9108452222784482</v>
      </c>
      <c r="T11" s="406"/>
      <c r="U11" s="408"/>
      <c r="V11" s="407">
        <f>G11/2-(P11-S11)/J11</f>
        <v>-0.11621198544078215</v>
      </c>
      <c r="W11" s="406"/>
      <c r="X11" s="408"/>
      <c r="Z11" s="5"/>
      <c r="AH11" s="6"/>
      <c r="AL11" s="9"/>
      <c r="AP11" s="348" t="s">
        <v>378</v>
      </c>
      <c r="AQ11" s="332"/>
      <c r="AR11" s="332"/>
      <c r="AS11" s="224" t="s">
        <v>370</v>
      </c>
      <c r="AT11" s="218"/>
      <c r="AU11" s="218"/>
      <c r="AV11" s="225"/>
      <c r="AW11" s="12"/>
      <c r="AX11" s="224" t="s">
        <v>370</v>
      </c>
      <c r="AY11" s="218"/>
      <c r="AZ11" s="218"/>
      <c r="BA11" s="225"/>
      <c r="BB11" s="14"/>
      <c r="BC11" s="422" t="s">
        <v>380</v>
      </c>
      <c r="BD11" s="421"/>
      <c r="BE11" s="423"/>
    </row>
    <row r="12" spans="2:66">
      <c r="D12" s="5">
        <f>'3.照査'!$F$9</f>
        <v>4</v>
      </c>
      <c r="E12" s="254" t="str">
        <f>'3.照査'!$G$9</f>
        <v>段目</v>
      </c>
      <c r="F12" s="254"/>
      <c r="G12" s="407">
        <f>'1.設計条件'!$T$7</f>
        <v>1.1000000000000001</v>
      </c>
      <c r="H12" s="406"/>
      <c r="I12" s="408"/>
      <c r="J12" s="406">
        <f>'4-2.部材'!CC37</f>
        <v>63.310467454630711</v>
      </c>
      <c r="K12" s="406"/>
      <c r="L12" s="406"/>
      <c r="M12" s="407">
        <f>'4-2.部材'!CF37</f>
        <v>17.311451291074746</v>
      </c>
      <c r="N12" s="406"/>
      <c r="O12" s="408"/>
      <c r="P12" s="406">
        <f>'4-2.部材'!CO37</f>
        <v>70.132400175982454</v>
      </c>
      <c r="Q12" s="406"/>
      <c r="R12" s="406"/>
      <c r="S12" s="407">
        <f>'4-2.部材'!CS37</f>
        <v>22.676206303503513</v>
      </c>
      <c r="T12" s="406"/>
      <c r="U12" s="408"/>
      <c r="V12" s="407">
        <f t="shared" ref="V12:V15" si="0">G12/2-(P12-S12)/J12</f>
        <v>-0.19957895242973533</v>
      </c>
      <c r="W12" s="406"/>
      <c r="X12" s="408"/>
      <c r="Z12" s="5"/>
      <c r="AH12" s="6"/>
      <c r="AL12" s="9"/>
      <c r="AP12" s="401" t="s">
        <v>315</v>
      </c>
      <c r="AQ12" s="140"/>
      <c r="AR12" s="140"/>
      <c r="AS12" s="328" t="s">
        <v>312</v>
      </c>
      <c r="AT12" s="320"/>
      <c r="AU12" s="320"/>
      <c r="AV12" s="330"/>
      <c r="AW12" s="12"/>
      <c r="AX12" s="328" t="s">
        <v>364</v>
      </c>
      <c r="AY12" s="320"/>
      <c r="AZ12" s="320"/>
      <c r="BA12" s="330"/>
      <c r="BB12" s="14"/>
      <c r="BC12" s="92" t="s">
        <v>190</v>
      </c>
      <c r="BD12" s="430">
        <f>'1.設計条件'!T20</f>
        <v>0.32999999999999996</v>
      </c>
      <c r="BE12" s="330"/>
    </row>
    <row r="13" spans="2:66">
      <c r="D13" s="5">
        <f>'3.照査'!$F$10</f>
        <v>3</v>
      </c>
      <c r="E13" s="254" t="str">
        <f>'3.照査'!$G$10</f>
        <v>段目</v>
      </c>
      <c r="F13" s="254"/>
      <c r="G13" s="407">
        <f>'1.設計条件'!$T$7</f>
        <v>1.1000000000000001</v>
      </c>
      <c r="H13" s="406"/>
      <c r="I13" s="408"/>
      <c r="J13" s="406">
        <f>'4-2.部材'!DL37</f>
        <v>77.824566335883418</v>
      </c>
      <c r="K13" s="406"/>
      <c r="L13" s="406"/>
      <c r="M13" s="407">
        <f>'4-2.部材'!DO37</f>
        <v>25.127544920132777</v>
      </c>
      <c r="N13" s="406"/>
      <c r="O13" s="408"/>
      <c r="P13" s="406">
        <f>'4-2.部材'!DX37</f>
        <v>106.31973393769057</v>
      </c>
      <c r="Q13" s="406"/>
      <c r="R13" s="406"/>
      <c r="S13" s="407">
        <f>'4-2.部材'!EB37</f>
        <v>43.818595468655033</v>
      </c>
      <c r="T13" s="406"/>
      <c r="U13" s="408"/>
      <c r="V13" s="407">
        <f t="shared" si="0"/>
        <v>-0.25310294565968505</v>
      </c>
      <c r="W13" s="406"/>
      <c r="X13" s="408"/>
      <c r="Z13" s="5"/>
      <c r="AH13" s="6"/>
      <c r="AL13" s="9"/>
      <c r="AM13" s="34">
        <f>'3.照査'!$F$7</f>
        <v>6</v>
      </c>
      <c r="AN13" s="135" t="str">
        <f>'3.照査'!$G$7</f>
        <v>段目</v>
      </c>
      <c r="AO13" s="135"/>
      <c r="AP13" s="424">
        <f>M10</f>
        <v>4.2639895070704226</v>
      </c>
      <c r="AQ13" s="425"/>
      <c r="AR13" s="426"/>
      <c r="AS13" s="407">
        <f>AP13/AZ$4</f>
        <v>3.8763540973367476</v>
      </c>
      <c r="AT13" s="406"/>
      <c r="AU13" s="406"/>
      <c r="AV13" s="91"/>
      <c r="AW13" s="12"/>
      <c r="AX13" s="276">
        <f t="shared" ref="AX13:AX18" si="1">AS13/1000</f>
        <v>3.8763540973367474E-3</v>
      </c>
      <c r="AY13" s="216"/>
      <c r="AZ13" s="216"/>
      <c r="BA13" s="277"/>
      <c r="BB13" s="14"/>
      <c r="BC13" s="333" t="str">
        <f>IF(AX13&lt;=BD$12, "OK", "NG")</f>
        <v>OK</v>
      </c>
      <c r="BD13" s="334"/>
      <c r="BE13" s="340"/>
    </row>
    <row r="14" spans="2:66">
      <c r="D14" s="5">
        <f>'3.照査'!$F$11</f>
        <v>2</v>
      </c>
      <c r="E14" s="254" t="str">
        <f>'3.照査'!$G$11</f>
        <v>段目</v>
      </c>
      <c r="F14" s="254"/>
      <c r="G14" s="407">
        <f>'1.設計条件'!$T$7</f>
        <v>1.1000000000000001</v>
      </c>
      <c r="H14" s="406"/>
      <c r="I14" s="408"/>
      <c r="J14" s="406">
        <f>'4-2.部材'!EU37</f>
        <v>92.599605832628811</v>
      </c>
      <c r="K14" s="406"/>
      <c r="L14" s="406"/>
      <c r="M14" s="407">
        <f>'4-2.部材'!EX37</f>
        <v>34.655282825972577</v>
      </c>
      <c r="N14" s="406"/>
      <c r="O14" s="408"/>
      <c r="P14" s="406">
        <f>'4-2.部材'!FG37</f>
        <v>148.6691347674506</v>
      </c>
      <c r="Q14" s="406"/>
      <c r="R14" s="406"/>
      <c r="S14" s="407">
        <f>'4-2.部材'!FK37</f>
        <v>73.525363258261194</v>
      </c>
      <c r="T14" s="406"/>
      <c r="U14" s="408"/>
      <c r="V14" s="407">
        <f t="shared" si="0"/>
        <v>-0.26149126752234408</v>
      </c>
      <c r="W14" s="406"/>
      <c r="X14" s="408"/>
      <c r="Z14" s="5"/>
      <c r="AH14" s="6"/>
      <c r="AL14" s="9"/>
      <c r="AM14" s="5">
        <f>'3.照査'!$F$8</f>
        <v>5</v>
      </c>
      <c r="AN14" s="254" t="str">
        <f>'3.照査'!$G$8</f>
        <v>段目</v>
      </c>
      <c r="AO14" s="254"/>
      <c r="AP14" s="407">
        <f>M11</f>
        <v>10.36138325329968</v>
      </c>
      <c r="AQ14" s="406"/>
      <c r="AR14" s="408"/>
      <c r="AS14" s="276">
        <f>AP14/AZ$4</f>
        <v>9.4194393211815264</v>
      </c>
      <c r="AT14" s="216"/>
      <c r="AU14" s="216"/>
      <c r="AV14" s="277"/>
      <c r="AW14" s="12"/>
      <c r="AX14" s="276">
        <f t="shared" si="1"/>
        <v>9.4194393211815258E-3</v>
      </c>
      <c r="AY14" s="216"/>
      <c r="AZ14" s="216"/>
      <c r="BA14" s="277"/>
      <c r="BB14" s="14"/>
      <c r="BC14" s="327" t="str">
        <f>IF(AX14&lt;=BD$12, "OK", "NG")</f>
        <v>OK</v>
      </c>
      <c r="BD14" s="300"/>
      <c r="BE14" s="301"/>
    </row>
    <row r="15" spans="2:66">
      <c r="D15" s="7">
        <f>'3.照査'!$F$12</f>
        <v>1</v>
      </c>
      <c r="E15" s="138" t="str">
        <f>'3.照査'!$G$12</f>
        <v>段目</v>
      </c>
      <c r="F15" s="138"/>
      <c r="G15" s="396">
        <f>'1.設計条件'!$T$7</f>
        <v>1.1000000000000001</v>
      </c>
      <c r="H15" s="394"/>
      <c r="I15" s="397"/>
      <c r="J15" s="394">
        <f>'4-2.部材'!GD37</f>
        <v>107.43395684024523</v>
      </c>
      <c r="K15" s="394"/>
      <c r="L15" s="394"/>
      <c r="M15" s="396">
        <f>'4-2.部材'!GG37</f>
        <v>46.398773733170479</v>
      </c>
      <c r="N15" s="394"/>
      <c r="O15" s="397"/>
      <c r="P15" s="394">
        <f>'4-2.部材'!GP37</f>
        <v>197.00565636004112</v>
      </c>
      <c r="Q15" s="394"/>
      <c r="R15" s="394"/>
      <c r="S15" s="396">
        <f>'4-2.部材'!GT37</f>
        <v>113.86774545438624</v>
      </c>
      <c r="T15" s="394"/>
      <c r="U15" s="397"/>
      <c r="V15" s="396">
        <f t="shared" si="0"/>
        <v>-0.22385133481848118</v>
      </c>
      <c r="W15" s="394"/>
      <c r="X15" s="397"/>
      <c r="Z15" s="7"/>
      <c r="AA15" s="10"/>
      <c r="AB15" s="10"/>
      <c r="AC15" s="10"/>
      <c r="AD15" s="10"/>
      <c r="AE15" s="10"/>
      <c r="AF15" s="10"/>
      <c r="AG15" s="10"/>
      <c r="AH15" s="8"/>
      <c r="AL15" s="9"/>
      <c r="AM15" s="5">
        <f>'3.照査'!$F$9</f>
        <v>4</v>
      </c>
      <c r="AN15" s="254" t="str">
        <f>'3.照査'!$G$9</f>
        <v>段目</v>
      </c>
      <c r="AO15" s="254"/>
      <c r="AP15" s="407">
        <f t="shared" ref="AP15:AP18" si="2">M12</f>
        <v>17.311451291074746</v>
      </c>
      <c r="AQ15" s="406"/>
      <c r="AR15" s="408"/>
      <c r="AS15" s="276">
        <f t="shared" ref="AS15:AS18" si="3">AP15/AZ$4</f>
        <v>15.737682991886132</v>
      </c>
      <c r="AT15" s="216"/>
      <c r="AU15" s="216"/>
      <c r="AV15" s="277"/>
      <c r="AW15" s="12"/>
      <c r="AX15" s="276">
        <f t="shared" si="1"/>
        <v>1.5737682991886132E-2</v>
      </c>
      <c r="AY15" s="216"/>
      <c r="AZ15" s="216"/>
      <c r="BA15" s="277"/>
      <c r="BB15" s="14"/>
      <c r="BC15" s="327" t="str">
        <f t="shared" ref="BC15:BC18" si="4">IF(AX15&lt;=BD$12, "OK", "NG")</f>
        <v>OK</v>
      </c>
      <c r="BD15" s="300"/>
      <c r="BE15" s="301"/>
    </row>
    <row r="16" spans="2:66">
      <c r="AL16" s="9"/>
      <c r="AM16" s="5">
        <f>'3.照査'!$F$10</f>
        <v>3</v>
      </c>
      <c r="AN16" s="254" t="str">
        <f>'3.照査'!$G$10</f>
        <v>段目</v>
      </c>
      <c r="AO16" s="254"/>
      <c r="AP16" s="407">
        <f t="shared" si="2"/>
        <v>25.127544920132777</v>
      </c>
      <c r="AQ16" s="406"/>
      <c r="AR16" s="408"/>
      <c r="AS16" s="276">
        <f t="shared" si="3"/>
        <v>22.84322265466616</v>
      </c>
      <c r="AT16" s="216"/>
      <c r="AU16" s="216"/>
      <c r="AV16" s="277"/>
      <c r="AW16" s="12"/>
      <c r="AX16" s="276">
        <f t="shared" si="1"/>
        <v>2.2843222654666161E-2</v>
      </c>
      <c r="AY16" s="216"/>
      <c r="AZ16" s="216"/>
      <c r="BA16" s="277"/>
      <c r="BB16" s="14"/>
      <c r="BC16" s="327" t="str">
        <f t="shared" si="4"/>
        <v>OK</v>
      </c>
      <c r="BD16" s="300"/>
      <c r="BE16" s="301"/>
    </row>
    <row r="17" spans="3:57">
      <c r="C17" t="s">
        <v>451</v>
      </c>
      <c r="AL17" s="9"/>
      <c r="AM17" s="5">
        <f>'3.照査'!$F$11</f>
        <v>2</v>
      </c>
      <c r="AN17" s="254" t="str">
        <f>'3.照査'!$G$11</f>
        <v>段目</v>
      </c>
      <c r="AO17" s="254"/>
      <c r="AP17" s="407">
        <f t="shared" si="2"/>
        <v>34.655282825972577</v>
      </c>
      <c r="AQ17" s="406"/>
      <c r="AR17" s="408"/>
      <c r="AS17" s="276">
        <f t="shared" si="3"/>
        <v>31.504802569065976</v>
      </c>
      <c r="AT17" s="216"/>
      <c r="AU17" s="216"/>
      <c r="AV17" s="277"/>
      <c r="AW17" s="12"/>
      <c r="AX17" s="276">
        <f t="shared" si="1"/>
        <v>3.1504802569065973E-2</v>
      </c>
      <c r="AY17" s="216"/>
      <c r="AZ17" s="216"/>
      <c r="BA17" s="277"/>
      <c r="BB17" s="14"/>
      <c r="BC17" s="327" t="str">
        <f t="shared" si="4"/>
        <v>OK</v>
      </c>
      <c r="BD17" s="300"/>
      <c r="BE17" s="301"/>
    </row>
    <row r="18" spans="3:57">
      <c r="C18" s="431" t="s">
        <v>350</v>
      </c>
      <c r="D18" s="219"/>
      <c r="E18" s="292" t="s">
        <v>2</v>
      </c>
      <c r="F18" s="310" t="s">
        <v>349</v>
      </c>
      <c r="G18" s="310"/>
      <c r="H18" s="254" t="s">
        <v>351</v>
      </c>
      <c r="I18" s="310" t="s">
        <v>352</v>
      </c>
      <c r="J18" s="310"/>
      <c r="Z18" s="34"/>
      <c r="AA18" s="35"/>
      <c r="AB18" s="35"/>
      <c r="AC18" s="35"/>
      <c r="AD18" s="35"/>
      <c r="AE18" s="35"/>
      <c r="AF18" s="35"/>
      <c r="AG18" s="35"/>
      <c r="AH18" s="40"/>
      <c r="AL18" s="9"/>
      <c r="AM18" s="7">
        <f>'3.照査'!$F$12</f>
        <v>1</v>
      </c>
      <c r="AN18" s="138" t="str">
        <f>'3.照査'!$G$12</f>
        <v>段目</v>
      </c>
      <c r="AO18" s="138"/>
      <c r="AP18" s="396">
        <f t="shared" si="2"/>
        <v>46.398773733170479</v>
      </c>
      <c r="AQ18" s="394"/>
      <c r="AR18" s="397"/>
      <c r="AS18" s="278">
        <f t="shared" si="3"/>
        <v>42.18070339379134</v>
      </c>
      <c r="AT18" s="258"/>
      <c r="AU18" s="258"/>
      <c r="AV18" s="279"/>
      <c r="AW18" s="12"/>
      <c r="AX18" s="278">
        <f t="shared" si="1"/>
        <v>4.218070339379134E-2</v>
      </c>
      <c r="AY18" s="258"/>
      <c r="AZ18" s="258"/>
      <c r="BA18" s="279"/>
      <c r="BB18" s="14"/>
      <c r="BC18" s="311" t="str">
        <f t="shared" si="4"/>
        <v>OK</v>
      </c>
      <c r="BD18" s="312"/>
      <c r="BE18" s="313"/>
    </row>
    <row r="19" spans="3:57">
      <c r="C19" s="219"/>
      <c r="D19" s="219"/>
      <c r="E19" s="292"/>
      <c r="F19" s="421" t="s">
        <v>39</v>
      </c>
      <c r="G19" s="421"/>
      <c r="H19" s="254"/>
      <c r="I19" s="421" t="s">
        <v>47</v>
      </c>
      <c r="J19" s="421"/>
      <c r="Z19" s="5"/>
      <c r="AH19" s="6"/>
    </row>
    <row r="20" spans="3:57">
      <c r="C20" t="s">
        <v>183</v>
      </c>
      <c r="Z20" s="5"/>
      <c r="AH20" s="6"/>
    </row>
    <row r="21" spans="3:57">
      <c r="C21" s="431" t="s">
        <v>350</v>
      </c>
      <c r="D21" s="431"/>
      <c r="E21" t="s">
        <v>359</v>
      </c>
      <c r="Z21" s="5"/>
      <c r="AH21" s="6"/>
    </row>
    <row r="22" spans="3:57">
      <c r="C22" s="218" t="s">
        <v>349</v>
      </c>
      <c r="D22" s="218"/>
      <c r="E22" t="s">
        <v>375</v>
      </c>
      <c r="J22" s="218" t="s">
        <v>349</v>
      </c>
      <c r="K22" s="218"/>
      <c r="L22" t="s">
        <v>2</v>
      </c>
      <c r="M22" s="218" t="s">
        <v>348</v>
      </c>
      <c r="N22" s="218"/>
      <c r="O22" s="1" t="s">
        <v>43</v>
      </c>
      <c r="P22" s="216">
        <v>1</v>
      </c>
      <c r="Q22" s="216"/>
      <c r="Z22" s="5"/>
      <c r="AH22" s="6"/>
    </row>
    <row r="23" spans="3:57">
      <c r="C23" s="218" t="s">
        <v>39</v>
      </c>
      <c r="D23" s="218"/>
      <c r="E23" t="s">
        <v>454</v>
      </c>
      <c r="Z23" s="5"/>
      <c r="AH23" s="6"/>
    </row>
    <row r="24" spans="3:57">
      <c r="E24" s="218" t="s">
        <v>39</v>
      </c>
      <c r="F24" s="218"/>
      <c r="G24" t="s">
        <v>2</v>
      </c>
      <c r="H24" s="267" t="s">
        <v>36</v>
      </c>
      <c r="I24" s="267"/>
      <c r="J24" s="1" t="s">
        <v>43</v>
      </c>
      <c r="K24" s="216">
        <v>1</v>
      </c>
      <c r="L24" s="216"/>
      <c r="M24" t="s">
        <v>2</v>
      </c>
      <c r="N24" s="216">
        <f>'1.設計条件'!T7</f>
        <v>1.1000000000000001</v>
      </c>
      <c r="O24" s="216"/>
      <c r="P24" s="1" t="s">
        <v>43</v>
      </c>
      <c r="Q24" s="216">
        <v>1</v>
      </c>
      <c r="R24" s="216"/>
      <c r="S24" t="s">
        <v>2</v>
      </c>
      <c r="T24" s="216">
        <f>N24*Q24</f>
        <v>1.1000000000000001</v>
      </c>
      <c r="U24" s="216"/>
      <c r="V24" s="1" t="s">
        <v>354</v>
      </c>
      <c r="Z24" s="5"/>
      <c r="AH24" s="6"/>
    </row>
    <row r="25" spans="3:57">
      <c r="C25" s="218" t="s">
        <v>345</v>
      </c>
      <c r="D25" s="218"/>
      <c r="E25" t="s">
        <v>344</v>
      </c>
      <c r="Z25" s="7"/>
      <c r="AA25" s="10"/>
      <c r="AB25" s="10"/>
      <c r="AC25" s="10"/>
      <c r="AD25" s="10"/>
      <c r="AE25" s="10"/>
      <c r="AF25" s="10"/>
      <c r="AG25" s="10"/>
      <c r="AH25" s="8"/>
    </row>
    <row r="26" spans="3:57">
      <c r="C26" s="218" t="s">
        <v>47</v>
      </c>
      <c r="D26" s="218"/>
      <c r="E26" t="s">
        <v>360</v>
      </c>
    </row>
    <row r="27" spans="3:57">
      <c r="C27" s="9"/>
      <c r="D27" s="9"/>
      <c r="E27" s="260" t="s">
        <v>47</v>
      </c>
      <c r="F27" s="260"/>
      <c r="G27" s="292" t="s">
        <v>2</v>
      </c>
      <c r="H27" s="216">
        <v>1</v>
      </c>
      <c r="I27" s="216"/>
      <c r="J27" s="310" t="s">
        <v>355</v>
      </c>
      <c r="K27" s="310"/>
      <c r="M27" s="292" t="s">
        <v>2</v>
      </c>
      <c r="N27" s="258">
        <v>1</v>
      </c>
      <c r="O27" s="258"/>
      <c r="P27" s="18" t="s">
        <v>43</v>
      </c>
      <c r="Q27" s="258">
        <f>'1.設計条件'!T7</f>
        <v>1.1000000000000001</v>
      </c>
      <c r="R27" s="258"/>
      <c r="S27" s="18" t="s">
        <v>303</v>
      </c>
      <c r="U27" s="292" t="s">
        <v>2</v>
      </c>
      <c r="V27" s="216">
        <f>N27*Q27^2/N28</f>
        <v>0.20166666666666669</v>
      </c>
      <c r="W27" s="216"/>
      <c r="X27" s="141" t="s">
        <v>452</v>
      </c>
      <c r="Z27" s="13"/>
      <c r="AA27" s="90"/>
      <c r="AB27" s="90"/>
      <c r="AC27" s="90"/>
      <c r="AD27" s="1"/>
      <c r="AE27" s="1"/>
    </row>
    <row r="28" spans="3:57">
      <c r="C28" s="9"/>
      <c r="D28" s="9"/>
      <c r="E28" s="260"/>
      <c r="F28" s="260"/>
      <c r="G28" s="292"/>
      <c r="H28" s="319">
        <v>6</v>
      </c>
      <c r="I28" s="319"/>
      <c r="J28" s="319"/>
      <c r="K28" s="319"/>
      <c r="M28" s="292"/>
      <c r="N28" s="366">
        <f>H28</f>
        <v>6</v>
      </c>
      <c r="O28" s="366"/>
      <c r="P28" s="366"/>
      <c r="Q28" s="366"/>
      <c r="R28" s="366"/>
      <c r="S28" s="366"/>
      <c r="U28" s="292"/>
      <c r="V28" s="216"/>
      <c r="W28" s="216"/>
      <c r="X28" s="141"/>
      <c r="Z28" s="13"/>
      <c r="AA28" s="90"/>
      <c r="AB28" s="90"/>
      <c r="AC28" s="90"/>
      <c r="AD28" s="1"/>
      <c r="AE28" s="1"/>
    </row>
    <row r="29" spans="3:57">
      <c r="C29" t="s">
        <v>453</v>
      </c>
      <c r="D29" s="9"/>
      <c r="E29" s="20"/>
      <c r="F29" s="20"/>
      <c r="G29" s="14"/>
      <c r="H29" s="23"/>
      <c r="I29" s="23"/>
      <c r="J29" s="23"/>
      <c r="K29" s="23"/>
      <c r="M29" s="14"/>
      <c r="N29" s="12"/>
      <c r="O29" s="12"/>
      <c r="P29" s="12"/>
      <c r="Q29" s="12"/>
      <c r="R29" s="12"/>
      <c r="S29" s="12"/>
      <c r="U29" s="14"/>
      <c r="V29" s="21"/>
      <c r="W29" s="21"/>
      <c r="X29" s="12"/>
      <c r="Z29" s="14"/>
      <c r="AA29" s="89"/>
      <c r="AB29" s="89"/>
      <c r="AC29" s="89"/>
      <c r="AD29" s="12"/>
      <c r="AE29" s="12"/>
    </row>
    <row r="30" spans="3:57">
      <c r="C30" s="9"/>
      <c r="G30" s="333" t="s">
        <v>356</v>
      </c>
      <c r="H30" s="334"/>
      <c r="I30" s="334"/>
      <c r="J30" s="335" t="s">
        <v>344</v>
      </c>
      <c r="K30" s="334"/>
      <c r="L30" s="340"/>
      <c r="M30" s="128" t="s">
        <v>361</v>
      </c>
      <c r="N30" s="129"/>
      <c r="O30" s="129"/>
      <c r="P30" s="129"/>
      <c r="Q30" s="129"/>
      <c r="R30" s="130"/>
      <c r="S30" s="12"/>
      <c r="T30" s="128" t="s">
        <v>361</v>
      </c>
      <c r="U30" s="129"/>
      <c r="V30" s="129"/>
      <c r="W30" s="129"/>
      <c r="X30" s="129"/>
      <c r="Y30" s="130"/>
      <c r="Z30" s="14"/>
      <c r="AA30" s="128" t="s">
        <v>365</v>
      </c>
      <c r="AB30" s="129"/>
      <c r="AC30" s="129"/>
      <c r="AD30" s="129"/>
      <c r="AE30" s="129"/>
      <c r="AF30" s="130"/>
    </row>
    <row r="31" spans="3:57">
      <c r="C31" s="9"/>
      <c r="G31" s="348" t="s">
        <v>357</v>
      </c>
      <c r="H31" s="332"/>
      <c r="I31" s="332"/>
      <c r="J31" s="348" t="s">
        <v>358</v>
      </c>
      <c r="K31" s="332"/>
      <c r="L31" s="336"/>
      <c r="M31" s="432" t="s">
        <v>362</v>
      </c>
      <c r="N31" s="431"/>
      <c r="O31" s="431"/>
      <c r="P31" s="432" t="s">
        <v>363</v>
      </c>
      <c r="Q31" s="431"/>
      <c r="R31" s="433"/>
      <c r="S31" s="12"/>
      <c r="T31" s="432" t="s">
        <v>362</v>
      </c>
      <c r="U31" s="431"/>
      <c r="V31" s="431"/>
      <c r="W31" s="432" t="s">
        <v>363</v>
      </c>
      <c r="X31" s="431"/>
      <c r="Y31" s="433"/>
      <c r="Z31" s="14"/>
      <c r="AA31" s="333" t="s">
        <v>366</v>
      </c>
      <c r="AB31" s="334"/>
      <c r="AC31" s="334"/>
      <c r="AD31" s="333" t="s">
        <v>369</v>
      </c>
      <c r="AE31" s="334"/>
      <c r="AF31" s="340"/>
    </row>
    <row r="32" spans="3:57">
      <c r="C32" s="9"/>
      <c r="G32" s="401" t="s">
        <v>315</v>
      </c>
      <c r="H32" s="140"/>
      <c r="I32" s="140"/>
      <c r="J32" s="399" t="s">
        <v>274</v>
      </c>
      <c r="K32" s="140"/>
      <c r="L32" s="400"/>
      <c r="M32" s="401" t="s">
        <v>312</v>
      </c>
      <c r="N32" s="140"/>
      <c r="O32" s="140"/>
      <c r="P32" s="401" t="s">
        <v>312</v>
      </c>
      <c r="Q32" s="140"/>
      <c r="R32" s="400"/>
      <c r="S32" s="12"/>
      <c r="T32" s="401" t="s">
        <v>364</v>
      </c>
      <c r="U32" s="140"/>
      <c r="V32" s="140"/>
      <c r="W32" s="401" t="s">
        <v>364</v>
      </c>
      <c r="X32" s="140"/>
      <c r="Y32" s="400"/>
      <c r="Z32" s="14"/>
      <c r="AA32" s="92" t="s">
        <v>190</v>
      </c>
      <c r="AB32" s="434">
        <f>'1.設計条件'!T18</f>
        <v>4.5</v>
      </c>
      <c r="AC32" s="400"/>
      <c r="AD32" s="92" t="s">
        <v>368</v>
      </c>
      <c r="AE32" s="434">
        <f>-'1.設計条件'!T19</f>
        <v>-0.22500000000000001</v>
      </c>
      <c r="AF32" s="400"/>
    </row>
    <row r="33" spans="3:70">
      <c r="C33" s="9"/>
      <c r="D33" s="34">
        <f>'3.照査'!$F$7</f>
        <v>6</v>
      </c>
      <c r="E33" s="135" t="str">
        <f>'3.照査'!$G$7</f>
        <v>段目</v>
      </c>
      <c r="F33" s="135"/>
      <c r="G33" s="424">
        <f t="shared" ref="G33:G38" si="5">J10</f>
        <v>18.837101708570305</v>
      </c>
      <c r="H33" s="425"/>
      <c r="I33" s="426"/>
      <c r="J33" s="425">
        <f t="shared" ref="J33:J38" si="6">V10</f>
        <v>-2.9877755017518437E-2</v>
      </c>
      <c r="K33" s="425"/>
      <c r="L33" s="426"/>
      <c r="M33" s="424">
        <f t="shared" ref="M33:M38" si="7">G33/$T$24-G33*J33/$V$27</f>
        <v>19.915432842941968</v>
      </c>
      <c r="N33" s="425"/>
      <c r="O33" s="425"/>
      <c r="P33" s="424">
        <f t="shared" ref="P33:P38" si="8">G33/$T$24+G33*J33/$V$27</f>
        <v>14.333842990822218</v>
      </c>
      <c r="Q33" s="425"/>
      <c r="R33" s="426"/>
      <c r="S33" s="12"/>
      <c r="T33" s="424">
        <f>M33/1000</f>
        <v>1.9915432842941967E-2</v>
      </c>
      <c r="U33" s="425"/>
      <c r="V33" s="425"/>
      <c r="W33" s="424">
        <f>P33/1000</f>
        <v>1.4333842990822217E-2</v>
      </c>
      <c r="X33" s="425"/>
      <c r="Y33" s="426"/>
      <c r="Z33" s="14"/>
      <c r="AA33" s="333" t="str">
        <f>IF(AND(T33&lt;=AB$32,W33&lt;=AB$32), "OK", "NG")</f>
        <v>OK</v>
      </c>
      <c r="AB33" s="334"/>
      <c r="AC33" s="334"/>
      <c r="AD33" s="333" t="str">
        <f>IF(AND(T33&gt;=AE$32,W33&gt;=AE$32), "OK", "NG")</f>
        <v>OK</v>
      </c>
      <c r="AE33" s="334"/>
      <c r="AF33" s="340"/>
    </row>
    <row r="34" spans="3:70">
      <c r="C34" s="9"/>
      <c r="D34" s="5">
        <f>'3.照査'!$F$8</f>
        <v>5</v>
      </c>
      <c r="E34" s="254" t="str">
        <f>'3.照査'!$G$8</f>
        <v>段目</v>
      </c>
      <c r="F34" s="254"/>
      <c r="G34" s="407">
        <f t="shared" si="5"/>
        <v>42.927532532558601</v>
      </c>
      <c r="H34" s="406"/>
      <c r="I34" s="408"/>
      <c r="J34" s="406">
        <f t="shared" si="6"/>
        <v>-0.11621198544078215</v>
      </c>
      <c r="K34" s="406"/>
      <c r="L34" s="408"/>
      <c r="M34" s="407">
        <f t="shared" si="7"/>
        <v>63.762354132156091</v>
      </c>
      <c r="N34" s="406"/>
      <c r="O34" s="406"/>
      <c r="P34" s="407">
        <f t="shared" si="8"/>
        <v>14.287705017950447</v>
      </c>
      <c r="Q34" s="406"/>
      <c r="R34" s="408"/>
      <c r="S34" s="12"/>
      <c r="T34" s="407">
        <f>M34/1000</f>
        <v>6.3762354132156085E-2</v>
      </c>
      <c r="U34" s="406"/>
      <c r="V34" s="406"/>
      <c r="W34" s="407">
        <f>P34/1000</f>
        <v>1.4287705017950448E-2</v>
      </c>
      <c r="X34" s="406"/>
      <c r="Y34" s="408"/>
      <c r="Z34" s="14"/>
      <c r="AA34" s="327" t="str">
        <f t="shared" ref="AA34:AA38" si="9">IF(AND(T34&lt;=AB$32,W34&lt;=AB$32), "OK", "NG")</f>
        <v>OK</v>
      </c>
      <c r="AB34" s="300"/>
      <c r="AC34" s="300"/>
      <c r="AD34" s="327" t="str">
        <f t="shared" ref="AD34:AD38" si="10">IF(AND(T34&gt;=AE$32,W34&gt;=AE$32), "OK", "NG")</f>
        <v>OK</v>
      </c>
      <c r="AE34" s="300"/>
      <c r="AF34" s="301"/>
    </row>
    <row r="35" spans="3:70">
      <c r="C35" s="9"/>
      <c r="D35" s="5">
        <f>'3.照査'!$F$9</f>
        <v>4</v>
      </c>
      <c r="E35" s="254" t="str">
        <f>'3.照査'!$G$9</f>
        <v>段目</v>
      </c>
      <c r="F35" s="254"/>
      <c r="G35" s="407">
        <f t="shared" si="5"/>
        <v>63.310467454630711</v>
      </c>
      <c r="H35" s="406"/>
      <c r="I35" s="408"/>
      <c r="J35" s="406">
        <f t="shared" si="6"/>
        <v>-0.19957895242973533</v>
      </c>
      <c r="K35" s="406"/>
      <c r="L35" s="408"/>
      <c r="M35" s="407">
        <f t="shared" si="7"/>
        <v>120.21002878899675</v>
      </c>
      <c r="N35" s="406"/>
      <c r="O35" s="406"/>
      <c r="P35" s="407">
        <f t="shared" si="8"/>
        <v>-5.1000879623954631</v>
      </c>
      <c r="Q35" s="406"/>
      <c r="R35" s="408"/>
      <c r="S35" s="12"/>
      <c r="T35" s="407">
        <f t="shared" ref="T35:T38" si="11">M35/1000</f>
        <v>0.12021002878899675</v>
      </c>
      <c r="U35" s="406"/>
      <c r="V35" s="406"/>
      <c r="W35" s="407">
        <f t="shared" ref="W35:W38" si="12">P35/1000</f>
        <v>-5.1000879623954633E-3</v>
      </c>
      <c r="X35" s="406"/>
      <c r="Y35" s="408"/>
      <c r="Z35" s="14"/>
      <c r="AA35" s="327" t="str">
        <f t="shared" si="9"/>
        <v>OK</v>
      </c>
      <c r="AB35" s="300"/>
      <c r="AC35" s="300"/>
      <c r="AD35" s="327" t="str">
        <f t="shared" si="10"/>
        <v>OK</v>
      </c>
      <c r="AE35" s="300"/>
      <c r="AF35" s="301"/>
    </row>
    <row r="36" spans="3:70">
      <c r="C36" s="9"/>
      <c r="D36" s="5">
        <f>'3.照査'!$F$10</f>
        <v>3</v>
      </c>
      <c r="E36" s="254" t="str">
        <f>'3.照査'!$G$10</f>
        <v>段目</v>
      </c>
      <c r="F36" s="254"/>
      <c r="G36" s="407">
        <f t="shared" si="5"/>
        <v>77.824566335883418</v>
      </c>
      <c r="H36" s="406"/>
      <c r="I36" s="408"/>
      <c r="J36" s="406">
        <f t="shared" si="6"/>
        <v>-0.25310294565968505</v>
      </c>
      <c r="K36" s="406"/>
      <c r="L36" s="408"/>
      <c r="M36" s="407">
        <f t="shared" si="7"/>
        <v>168.42378915311542</v>
      </c>
      <c r="N36" s="406"/>
      <c r="O36" s="406"/>
      <c r="P36" s="407">
        <f t="shared" si="8"/>
        <v>-26.924577633327416</v>
      </c>
      <c r="Q36" s="406"/>
      <c r="R36" s="408"/>
      <c r="S36" s="12"/>
      <c r="T36" s="407">
        <f t="shared" si="11"/>
        <v>0.16842378915311543</v>
      </c>
      <c r="U36" s="406"/>
      <c r="V36" s="406"/>
      <c r="W36" s="407">
        <f t="shared" si="12"/>
        <v>-2.6924577633327416E-2</v>
      </c>
      <c r="X36" s="406"/>
      <c r="Y36" s="408"/>
      <c r="Z36" s="14"/>
      <c r="AA36" s="327" t="str">
        <f t="shared" si="9"/>
        <v>OK</v>
      </c>
      <c r="AB36" s="300"/>
      <c r="AC36" s="300"/>
      <c r="AD36" s="327" t="str">
        <f t="shared" si="10"/>
        <v>OK</v>
      </c>
      <c r="AE36" s="300"/>
      <c r="AF36" s="301"/>
    </row>
    <row r="37" spans="3:70">
      <c r="C37" s="9"/>
      <c r="D37" s="5">
        <f>'3.照査'!$F$11</f>
        <v>2</v>
      </c>
      <c r="E37" s="254" t="str">
        <f>'3.照査'!$G$11</f>
        <v>段目</v>
      </c>
      <c r="F37" s="254"/>
      <c r="G37" s="407">
        <f t="shared" si="5"/>
        <v>92.599605832628811</v>
      </c>
      <c r="H37" s="406"/>
      <c r="I37" s="408"/>
      <c r="J37" s="406">
        <f t="shared" si="6"/>
        <v>-0.26149126752234408</v>
      </c>
      <c r="K37" s="406"/>
      <c r="L37" s="408"/>
      <c r="M37" s="407">
        <f t="shared" si="7"/>
        <v>204.25082332508509</v>
      </c>
      <c r="N37" s="406"/>
      <c r="O37" s="406"/>
      <c r="P37" s="407">
        <f t="shared" si="8"/>
        <v>-35.887903629396376</v>
      </c>
      <c r="Q37" s="406"/>
      <c r="R37" s="408"/>
      <c r="S37" s="12"/>
      <c r="T37" s="407">
        <f t="shared" si="11"/>
        <v>0.2042508233250851</v>
      </c>
      <c r="U37" s="406"/>
      <c r="V37" s="406"/>
      <c r="W37" s="407">
        <f t="shared" si="12"/>
        <v>-3.5887903629396374E-2</v>
      </c>
      <c r="X37" s="406"/>
      <c r="Y37" s="408"/>
      <c r="Z37" s="14"/>
      <c r="AA37" s="327" t="str">
        <f t="shared" si="9"/>
        <v>OK</v>
      </c>
      <c r="AB37" s="300"/>
      <c r="AC37" s="300"/>
      <c r="AD37" s="327" t="str">
        <f t="shared" si="10"/>
        <v>OK</v>
      </c>
      <c r="AE37" s="300"/>
      <c r="AF37" s="301"/>
    </row>
    <row r="38" spans="3:70">
      <c r="C38" s="9"/>
      <c r="D38" s="7">
        <f>'3.照査'!$F$12</f>
        <v>1</v>
      </c>
      <c r="E38" s="138" t="str">
        <f>'3.照査'!$G$12</f>
        <v>段目</v>
      </c>
      <c r="F38" s="138"/>
      <c r="G38" s="396">
        <f t="shared" si="5"/>
        <v>107.43395684024523</v>
      </c>
      <c r="H38" s="394"/>
      <c r="I38" s="397"/>
      <c r="J38" s="394">
        <f t="shared" si="6"/>
        <v>-0.22385133481848118</v>
      </c>
      <c r="K38" s="394"/>
      <c r="L38" s="397"/>
      <c r="M38" s="396">
        <f t="shared" si="7"/>
        <v>216.91963668214024</v>
      </c>
      <c r="N38" s="394"/>
      <c r="O38" s="394"/>
      <c r="P38" s="396">
        <f t="shared" si="8"/>
        <v>-21.585169699876189</v>
      </c>
      <c r="Q38" s="394"/>
      <c r="R38" s="397"/>
      <c r="S38" s="12"/>
      <c r="T38" s="396">
        <f t="shared" si="11"/>
        <v>0.21691963668214023</v>
      </c>
      <c r="U38" s="394"/>
      <c r="V38" s="394"/>
      <c r="W38" s="396">
        <f t="shared" si="12"/>
        <v>-2.158516969987619E-2</v>
      </c>
      <c r="X38" s="394"/>
      <c r="Y38" s="397"/>
      <c r="Z38" s="14"/>
      <c r="AA38" s="311" t="str">
        <f t="shared" si="9"/>
        <v>OK</v>
      </c>
      <c r="AB38" s="312"/>
      <c r="AC38" s="312"/>
      <c r="AD38" s="311" t="str">
        <f t="shared" si="10"/>
        <v>OK</v>
      </c>
      <c r="AE38" s="312"/>
      <c r="AF38" s="313"/>
      <c r="AI38">
        <f>'4-2.部材'!HB38+1</f>
        <v>24</v>
      </c>
      <c r="BR38">
        <f>AI38+1</f>
        <v>25</v>
      </c>
    </row>
    <row r="39" spans="3:70">
      <c r="D39" s="9"/>
      <c r="E39" s="9"/>
    </row>
  </sheetData>
  <sheetProtection sheet="1" objects="1" scenarios="1"/>
  <mergeCells count="232">
    <mergeCell ref="W38:Y38"/>
    <mergeCell ref="AA38:AC38"/>
    <mergeCell ref="AD38:AF38"/>
    <mergeCell ref="E38:F38"/>
    <mergeCell ref="G38:I38"/>
    <mergeCell ref="J38:L38"/>
    <mergeCell ref="M38:O38"/>
    <mergeCell ref="P38:R38"/>
    <mergeCell ref="T38:V38"/>
    <mergeCell ref="E37:F37"/>
    <mergeCell ref="G37:I37"/>
    <mergeCell ref="J37:L37"/>
    <mergeCell ref="M37:O37"/>
    <mergeCell ref="P37:R37"/>
    <mergeCell ref="T37:V37"/>
    <mergeCell ref="W37:Y37"/>
    <mergeCell ref="AA37:AC37"/>
    <mergeCell ref="AD37:AF37"/>
    <mergeCell ref="E36:F36"/>
    <mergeCell ref="G36:I36"/>
    <mergeCell ref="J36:L36"/>
    <mergeCell ref="M36:O36"/>
    <mergeCell ref="P36:R36"/>
    <mergeCell ref="T36:V36"/>
    <mergeCell ref="W36:Y36"/>
    <mergeCell ref="AA36:AC36"/>
    <mergeCell ref="AD36:AF36"/>
    <mergeCell ref="W34:Y34"/>
    <mergeCell ref="AA34:AC34"/>
    <mergeCell ref="AD34:AF34"/>
    <mergeCell ref="E35:F35"/>
    <mergeCell ref="G35:I35"/>
    <mergeCell ref="J35:L35"/>
    <mergeCell ref="M35:O35"/>
    <mergeCell ref="P35:R35"/>
    <mergeCell ref="T35:V35"/>
    <mergeCell ref="W35:Y35"/>
    <mergeCell ref="E34:F34"/>
    <mergeCell ref="G34:I34"/>
    <mergeCell ref="J34:L34"/>
    <mergeCell ref="M34:O34"/>
    <mergeCell ref="P34:R34"/>
    <mergeCell ref="T34:V34"/>
    <mergeCell ref="AA35:AC35"/>
    <mergeCell ref="AD35:AF35"/>
    <mergeCell ref="G32:I32"/>
    <mergeCell ref="J32:L32"/>
    <mergeCell ref="M32:O32"/>
    <mergeCell ref="P32:R32"/>
    <mergeCell ref="T32:V32"/>
    <mergeCell ref="W32:Y32"/>
    <mergeCell ref="AB32:AC32"/>
    <mergeCell ref="AE32:AF32"/>
    <mergeCell ref="E33:F33"/>
    <mergeCell ref="G33:I33"/>
    <mergeCell ref="J33:L33"/>
    <mergeCell ref="M33:O33"/>
    <mergeCell ref="P33:R33"/>
    <mergeCell ref="T33:V33"/>
    <mergeCell ref="W33:Y33"/>
    <mergeCell ref="AA33:AC33"/>
    <mergeCell ref="AD33:AF33"/>
    <mergeCell ref="G30:I30"/>
    <mergeCell ref="J30:L30"/>
    <mergeCell ref="M30:R30"/>
    <mergeCell ref="T30:Y30"/>
    <mergeCell ref="AA30:AF30"/>
    <mergeCell ref="G31:I31"/>
    <mergeCell ref="J31:L31"/>
    <mergeCell ref="M31:O31"/>
    <mergeCell ref="P31:R31"/>
    <mergeCell ref="T31:V31"/>
    <mergeCell ref="W31:Y31"/>
    <mergeCell ref="AA31:AC31"/>
    <mergeCell ref="AD31:AF31"/>
    <mergeCell ref="U27:U28"/>
    <mergeCell ref="V27:W28"/>
    <mergeCell ref="X27:X28"/>
    <mergeCell ref="N28:S28"/>
    <mergeCell ref="C25:D25"/>
    <mergeCell ref="C26:D26"/>
    <mergeCell ref="E27:F28"/>
    <mergeCell ref="G27:G28"/>
    <mergeCell ref="H27:I27"/>
    <mergeCell ref="J27:K27"/>
    <mergeCell ref="H28:K28"/>
    <mergeCell ref="C21:D21"/>
    <mergeCell ref="C22:D22"/>
    <mergeCell ref="J22:K22"/>
    <mergeCell ref="M22:N22"/>
    <mergeCell ref="P22:Q22"/>
    <mergeCell ref="C23:D23"/>
    <mergeCell ref="M27:M28"/>
    <mergeCell ref="N27:O27"/>
    <mergeCell ref="Q27:R27"/>
    <mergeCell ref="BC18:BE18"/>
    <mergeCell ref="F19:G19"/>
    <mergeCell ref="I19:J19"/>
    <mergeCell ref="AN17:AO17"/>
    <mergeCell ref="AP17:AR17"/>
    <mergeCell ref="AS17:AV17"/>
    <mergeCell ref="AX17:BA17"/>
    <mergeCell ref="BC17:BE17"/>
    <mergeCell ref="E24:F24"/>
    <mergeCell ref="H24:I24"/>
    <mergeCell ref="K24:L24"/>
    <mergeCell ref="N24:O24"/>
    <mergeCell ref="Q24:R24"/>
    <mergeCell ref="T24:U24"/>
    <mergeCell ref="C18:D19"/>
    <mergeCell ref="E18:E19"/>
    <mergeCell ref="F18:G18"/>
    <mergeCell ref="H18:H19"/>
    <mergeCell ref="I18:J18"/>
    <mergeCell ref="AN15:AO15"/>
    <mergeCell ref="AP15:AR15"/>
    <mergeCell ref="AS15:AV15"/>
    <mergeCell ref="AX15:BA15"/>
    <mergeCell ref="E15:F15"/>
    <mergeCell ref="G15:I15"/>
    <mergeCell ref="J15:L15"/>
    <mergeCell ref="M15:O15"/>
    <mergeCell ref="P15:R15"/>
    <mergeCell ref="S15:U15"/>
    <mergeCell ref="V15:X15"/>
    <mergeCell ref="AN18:AO18"/>
    <mergeCell ref="AP18:AR18"/>
    <mergeCell ref="AS18:AV18"/>
    <mergeCell ref="AX18:BA18"/>
    <mergeCell ref="BC15:BE15"/>
    <mergeCell ref="AN16:AO16"/>
    <mergeCell ref="AP16:AR16"/>
    <mergeCell ref="AS16:AV16"/>
    <mergeCell ref="AX16:BA16"/>
    <mergeCell ref="BC16:BE16"/>
    <mergeCell ref="AS14:AV14"/>
    <mergeCell ref="AX14:BA14"/>
    <mergeCell ref="BC14:BE14"/>
    <mergeCell ref="E14:F14"/>
    <mergeCell ref="G14:I14"/>
    <mergeCell ref="J14:L14"/>
    <mergeCell ref="M14:O14"/>
    <mergeCell ref="P14:R14"/>
    <mergeCell ref="S14:U14"/>
    <mergeCell ref="V14:X14"/>
    <mergeCell ref="AN14:AO14"/>
    <mergeCell ref="AP14:AR14"/>
    <mergeCell ref="V12:X12"/>
    <mergeCell ref="AP12:AR12"/>
    <mergeCell ref="AS12:AV12"/>
    <mergeCell ref="AX12:BA12"/>
    <mergeCell ref="BD12:BE12"/>
    <mergeCell ref="E13:F13"/>
    <mergeCell ref="G13:I13"/>
    <mergeCell ref="J13:L13"/>
    <mergeCell ref="M13:O13"/>
    <mergeCell ref="P13:R13"/>
    <mergeCell ref="E12:F12"/>
    <mergeCell ref="G12:I12"/>
    <mergeCell ref="J12:L12"/>
    <mergeCell ref="M12:O12"/>
    <mergeCell ref="P12:R12"/>
    <mergeCell ref="S12:U12"/>
    <mergeCell ref="BC13:BE13"/>
    <mergeCell ref="S13:U13"/>
    <mergeCell ref="V13:X13"/>
    <mergeCell ref="AN13:AO13"/>
    <mergeCell ref="AP13:AR13"/>
    <mergeCell ref="AS13:AU13"/>
    <mergeCell ref="AX13:BA13"/>
    <mergeCell ref="S11:U11"/>
    <mergeCell ref="V11:X11"/>
    <mergeCell ref="AP11:AR11"/>
    <mergeCell ref="AS11:AV11"/>
    <mergeCell ref="AX11:BA11"/>
    <mergeCell ref="BC11:BE11"/>
    <mergeCell ref="V10:X10"/>
    <mergeCell ref="AP10:AR10"/>
    <mergeCell ref="AS10:AV10"/>
    <mergeCell ref="AX10:BA10"/>
    <mergeCell ref="BC10:BE10"/>
    <mergeCell ref="S10:U10"/>
    <mergeCell ref="E11:F11"/>
    <mergeCell ref="G11:I11"/>
    <mergeCell ref="J11:L11"/>
    <mergeCell ref="M11:O11"/>
    <mergeCell ref="P11:R11"/>
    <mergeCell ref="E10:F10"/>
    <mergeCell ref="G10:I10"/>
    <mergeCell ref="J10:L10"/>
    <mergeCell ref="M10:O10"/>
    <mergeCell ref="P10:R10"/>
    <mergeCell ref="AT7:AU7"/>
    <mergeCell ref="AW7:AX7"/>
    <mergeCell ref="AZ7:BA7"/>
    <mergeCell ref="G8:I8"/>
    <mergeCell ref="J8:L8"/>
    <mergeCell ref="M8:O8"/>
    <mergeCell ref="P8:R8"/>
    <mergeCell ref="S8:U8"/>
    <mergeCell ref="V8:X8"/>
    <mergeCell ref="AL6:AM6"/>
    <mergeCell ref="G7:I7"/>
    <mergeCell ref="J7:L7"/>
    <mergeCell ref="M7:O7"/>
    <mergeCell ref="P7:U7"/>
    <mergeCell ref="V7:X7"/>
    <mergeCell ref="AL7:AM7"/>
    <mergeCell ref="G9:I9"/>
    <mergeCell ref="J9:L9"/>
    <mergeCell ref="M9:O9"/>
    <mergeCell ref="P9:R9"/>
    <mergeCell ref="S9:U9"/>
    <mergeCell ref="V9:X9"/>
    <mergeCell ref="AZ3:BA3"/>
    <mergeCell ref="C4:D5"/>
    <mergeCell ref="E4:E5"/>
    <mergeCell ref="F4:G4"/>
    <mergeCell ref="H4:H5"/>
    <mergeCell ref="I4:M4"/>
    <mergeCell ref="AO4:AP4"/>
    <mergeCell ref="AS4:AT4"/>
    <mergeCell ref="AV4:AW4"/>
    <mergeCell ref="AZ4:BA4"/>
    <mergeCell ref="AL3:AM4"/>
    <mergeCell ref="AN3:AN4"/>
    <mergeCell ref="AO3:AP3"/>
    <mergeCell ref="AR3:AR4"/>
    <mergeCell ref="AT3:AU3"/>
    <mergeCell ref="AY3:AY4"/>
    <mergeCell ref="F5:G5"/>
    <mergeCell ref="I5:M5"/>
  </mergeCells>
  <phoneticPr fontId="1"/>
  <conditionalFormatting sqref="AA33:AA38">
    <cfRule type="cellIs" dxfId="2" priority="3" operator="equal">
      <formula>"NG"</formula>
    </cfRule>
  </conditionalFormatting>
  <conditionalFormatting sqref="AD33:AD38">
    <cfRule type="cellIs" dxfId="1" priority="2" operator="equal">
      <formula>"NG"</formula>
    </cfRule>
  </conditionalFormatting>
  <conditionalFormatting sqref="BC13:BC18">
    <cfRule type="cellIs" dxfId="0" priority="1" operator="equal">
      <formula>"NG"</formula>
    </cfRule>
  </conditionalFormatting>
  <pageMargins left="0.70866141732283472" right="0.70866141732283472" top="0.74803149606299213" bottom="0.74803149606299213" header="0.31496062992125984" footer="0.31496062992125984"/>
  <pageSetup paperSize="9" scale="74" orientation="portrait" horizontalDpi="1200" verticalDpi="1200" r:id="rId1"/>
  <colBreaks count="1" manualBreakCount="1">
    <brk id="3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</vt:i4>
      </vt:variant>
    </vt:vector>
  </HeadingPairs>
  <TitlesOfParts>
    <vt:vector size="10" baseType="lpstr">
      <vt:lpstr>1.設計条件</vt:lpstr>
      <vt:lpstr>2.自重</vt:lpstr>
      <vt:lpstr>2.土圧</vt:lpstr>
      <vt:lpstr>2.浮力</vt:lpstr>
      <vt:lpstr>3.照査</vt:lpstr>
      <vt:lpstr>3.照査 (2)</vt:lpstr>
      <vt:lpstr>4-1.部材</vt:lpstr>
      <vt:lpstr>4-2.部材</vt:lpstr>
      <vt:lpstr>4-3.部材</vt:lpstr>
      <vt:lpstr>'2.浮力'!Print_Area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2023-12-28T07:10:31Z</dcterms:created>
  <dcterms:modified xsi:type="dcterms:W3CDTF">2024-11-08T12:12:13Z</dcterms:modified>
</cp:coreProperties>
</file>