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3.xml" ContentType="application/vnd.ms-excel.person+xml"/>
  <Override PartName="/xl/persons/person.xml" ContentType="application/vnd.ms-excel.person+xml"/>
  <Override PartName="/xl/persons/person2.xml" ContentType="application/vnd.ms-excel.person+xml"/>
  <Override PartName="/xl/persons/person1.xml" ContentType="application/vnd.ms-excel.person+xml"/>
  <Override PartName="/xl/persons/person5.xml" ContentType="application/vnd.ms-excel.person+xml"/>
  <Override PartName="/xl/persons/person0.xml" ContentType="application/vnd.ms-excel.person+xml"/>
  <Override PartName="/xl/persons/person6.xml" ContentType="application/vnd.ms-excel.person+xml"/>
  <Override PartName="/xl/persons/person4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defaultThemeVersion="166925"/>
  <xr:revisionPtr revIDLastSave="0" documentId="13_ncr:1_{B671D33A-EFF1-402D-BF35-BEFEC9393401}" xr6:coauthVersionLast="47" xr6:coauthVersionMax="47" xr10:uidLastSave="{00000000-0000-0000-0000-000000000000}"/>
  <bookViews>
    <workbookView xWindow="-108" yWindow="-108" windowWidth="23256" windowHeight="12576" tabRatio="818" xr2:uid="{CF0D8F96-5D99-47CC-B822-9D88223D702C}"/>
  </bookViews>
  <sheets>
    <sheet name="1.設計条件" sheetId="1" r:id="rId1"/>
    <sheet name="2.自重" sheetId="2" r:id="rId2"/>
    <sheet name="2.土圧" sheetId="3" r:id="rId3"/>
    <sheet name="3.照査" sheetId="4" r:id="rId4"/>
    <sheet name="4-1.部材" sheetId="5" r:id="rId5"/>
    <sheet name="4-2.部材" sheetId="6" r:id="rId6"/>
    <sheet name="4-3.部材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B25" i="5" l="1"/>
  <c r="CC16" i="5"/>
  <c r="CC15" i="5"/>
  <c r="BY16" i="5"/>
  <c r="BY15" i="5"/>
  <c r="BY14" i="5"/>
  <c r="CC14" i="5"/>
  <c r="BY13" i="5"/>
  <c r="CC13" i="5"/>
  <c r="CA12" i="5"/>
  <c r="CA11" i="5"/>
  <c r="AQ37" i="5"/>
  <c r="AV31" i="5" l="1"/>
  <c r="CU17" i="4"/>
  <c r="Z9" i="4"/>
  <c r="Z10" i="4"/>
  <c r="Z11" i="4"/>
  <c r="Z12" i="4"/>
  <c r="Z13" i="4"/>
  <c r="Z8" i="4"/>
  <c r="Z7" i="4"/>
  <c r="BO19" i="2" l="1"/>
  <c r="AX23" i="4" l="1"/>
  <c r="BA23" i="4" s="1"/>
  <c r="BA7" i="5" s="1"/>
  <c r="BG7" i="1" l="1"/>
  <c r="T6" i="1"/>
  <c r="AW4" i="7"/>
  <c r="CH35" i="4"/>
  <c r="T21" i="1"/>
  <c r="BE12" i="7" s="1"/>
  <c r="T19" i="1"/>
  <c r="AC32" i="7" s="1"/>
  <c r="T20" i="1"/>
  <c r="AF32" i="7" s="1"/>
  <c r="O28" i="7"/>
  <c r="R27" i="7"/>
  <c r="O24" i="7"/>
  <c r="U24" i="7" s="1"/>
  <c r="H12" i="7"/>
  <c r="H13" i="7"/>
  <c r="H14" i="7"/>
  <c r="H15" i="7"/>
  <c r="AT4" i="7" s="1"/>
  <c r="H11" i="7"/>
  <c r="H10" i="7"/>
  <c r="BY5" i="5"/>
  <c r="P28" i="5"/>
  <c r="U12" i="5"/>
  <c r="R10" i="5"/>
  <c r="O10" i="5"/>
  <c r="BA4" i="7" l="1"/>
  <c r="W27" i="7"/>
  <c r="CM31" i="4"/>
  <c r="CM27" i="4"/>
  <c r="BY10" i="4" l="1"/>
  <c r="BY13" i="4" s="1"/>
  <c r="CF9" i="4"/>
  <c r="CF10" i="4"/>
  <c r="CE13" i="4" s="1"/>
  <c r="CC9" i="4"/>
  <c r="CD3" i="4" l="1"/>
  <c r="H22" i="4"/>
  <c r="AF7" i="3"/>
  <c r="BB34" i="3" s="1"/>
  <c r="AF6" i="3"/>
  <c r="AT34" i="3" s="1"/>
  <c r="AF5" i="3"/>
  <c r="AF4" i="3"/>
  <c r="BZ35" i="2"/>
  <c r="BF38" i="2"/>
  <c r="BO32" i="2"/>
  <c r="BA36" i="2" s="1"/>
  <c r="BO31" i="2"/>
  <c r="BE36" i="2" s="1"/>
  <c r="BF26" i="2"/>
  <c r="BO18" i="2"/>
  <c r="BE24" i="2" s="1"/>
  <c r="BO7" i="2"/>
  <c r="BO20" i="2" s="1"/>
  <c r="BB25" i="2" s="1"/>
  <c r="BF13" i="2"/>
  <c r="BO5" i="2"/>
  <c r="BE11" i="2" s="1"/>
  <c r="W38" i="2"/>
  <c r="W26" i="2"/>
  <c r="W14" i="2"/>
  <c r="AF22" i="2"/>
  <c r="V25" i="2" s="1"/>
  <c r="AF34" i="2"/>
  <c r="R36" i="2" s="1"/>
  <c r="AF6" i="2"/>
  <c r="V12" i="2" s="1"/>
  <c r="AF5" i="2"/>
  <c r="R12" i="2" s="1"/>
  <c r="BZ34" i="2" l="1"/>
  <c r="AX37" i="2"/>
  <c r="BM37" i="2" s="1"/>
  <c r="CG14" i="2" s="1"/>
  <c r="BM36" i="2"/>
  <c r="BB38" i="2" s="1"/>
  <c r="BM38" i="2" s="1"/>
  <c r="CJ14" i="2" s="1"/>
  <c r="BE12" i="2"/>
  <c r="BO21" i="2"/>
  <c r="BA11" i="2"/>
  <c r="BM11" i="2" s="1"/>
  <c r="BB13" i="2" s="1"/>
  <c r="BM13" i="2" s="1"/>
  <c r="CJ11" i="2" s="1"/>
  <c r="V37" i="2"/>
  <c r="X13" i="2"/>
  <c r="AF33" i="2"/>
  <c r="S37" i="2" s="1"/>
  <c r="R24" i="2"/>
  <c r="AD12" i="2"/>
  <c r="S14" i="2" s="1"/>
  <c r="T13" i="1"/>
  <c r="AP3" i="1" l="1"/>
  <c r="AT3" i="1" s="1"/>
  <c r="BG3" i="1"/>
  <c r="V28" i="5"/>
  <c r="CE5" i="5"/>
  <c r="H38" i="5"/>
  <c r="BZ37" i="5" s="1"/>
  <c r="CI19" i="2"/>
  <c r="J13" i="4"/>
  <c r="CM14" i="2"/>
  <c r="CE19" i="2" s="1"/>
  <c r="BA24" i="2"/>
  <c r="BM24" i="2" s="1"/>
  <c r="BB26" i="2" s="1"/>
  <c r="BM26" i="2" s="1"/>
  <c r="CJ12" i="2" s="1"/>
  <c r="CJ13" i="2" s="1"/>
  <c r="CI18" i="2" s="1"/>
  <c r="BE25" i="2"/>
  <c r="BG6" i="1"/>
  <c r="CO30" i="4"/>
  <c r="CQ26" i="4"/>
  <c r="CA3" i="4"/>
  <c r="BE21" i="4"/>
  <c r="AX21" i="4"/>
  <c r="BO34" i="4"/>
  <c r="CE24" i="4" l="1"/>
  <c r="CE19" i="4"/>
  <c r="BP3" i="1"/>
  <c r="CN19" i="2"/>
  <c r="CC35" i="2" s="1"/>
  <c r="CL35" i="2" s="1"/>
  <c r="P13" i="4" s="1"/>
  <c r="DS11" i="6"/>
  <c r="FB11" i="6"/>
  <c r="GK12" i="6"/>
  <c r="FB12" i="6"/>
  <c r="GK13" i="6"/>
  <c r="GK11" i="6"/>
  <c r="AQ6" i="5"/>
  <c r="CN10" i="4"/>
  <c r="CM13" i="4" s="1"/>
  <c r="CI32" i="2"/>
  <c r="CI33" i="2"/>
  <c r="CI34" i="2"/>
  <c r="V13" i="4"/>
  <c r="BG4" i="1"/>
  <c r="AF7" i="2" s="1"/>
  <c r="AF19" i="2" s="1"/>
  <c r="V24" i="2" s="1"/>
  <c r="AD24" i="2" s="1"/>
  <c r="S26" i="2" s="1"/>
  <c r="AD26" i="2" s="1"/>
  <c r="CJ8" i="2" s="1"/>
  <c r="BW29" i="2"/>
  <c r="BW30" i="2"/>
  <c r="BW31" i="2"/>
  <c r="BW32" i="2"/>
  <c r="BW33" i="2"/>
  <c r="BW34" i="2"/>
  <c r="FY13" i="6" s="1"/>
  <c r="FZ13" i="6" s="1"/>
  <c r="CV27" i="4"/>
  <c r="CH3" i="4"/>
  <c r="CV31" i="4"/>
  <c r="BI21" i="4"/>
  <c r="CH24" i="4" l="1"/>
  <c r="CE21" i="4"/>
  <c r="CH19" i="4"/>
  <c r="CL19" i="4" s="1"/>
  <c r="CH21" i="4" s="1"/>
  <c r="CL24" i="4"/>
  <c r="AR19" i="5"/>
  <c r="AQ18" i="5"/>
  <c r="AF30" i="2"/>
  <c r="V36" i="2" s="1"/>
  <c r="AD36" i="2" s="1"/>
  <c r="S38" i="2" s="1"/>
  <c r="AD38" i="2" s="1"/>
  <c r="CJ9" i="2" s="1"/>
  <c r="EP10" i="6"/>
  <c r="FY10" i="6"/>
  <c r="BX10" i="6"/>
  <c r="DG10" i="6"/>
  <c r="EP12" i="6"/>
  <c r="FY12" i="6"/>
  <c r="DG11" i="6"/>
  <c r="DH11" i="6" s="1"/>
  <c r="EP11" i="6"/>
  <c r="FY11" i="6"/>
  <c r="AO9" i="6"/>
  <c r="DG9" i="6"/>
  <c r="FY9" i="6"/>
  <c r="BX9" i="6"/>
  <c r="EP9" i="6"/>
  <c r="BX8" i="6"/>
  <c r="FY8" i="6"/>
  <c r="AO8" i="6"/>
  <c r="DG8" i="6"/>
  <c r="F8" i="6"/>
  <c r="EP8" i="6"/>
  <c r="AQ5" i="5"/>
  <c r="CI10" i="4"/>
  <c r="CI13" i="4" s="1"/>
  <c r="BX34" i="2"/>
  <c r="BW37" i="5"/>
  <c r="E38" i="5"/>
  <c r="G12" i="4"/>
  <c r="AN18" i="7" s="1"/>
  <c r="BW36" i="5"/>
  <c r="E37" i="5"/>
  <c r="G11" i="4"/>
  <c r="AN17" i="7" s="1"/>
  <c r="BW35" i="5"/>
  <c r="E36" i="5"/>
  <c r="G10" i="4"/>
  <c r="AN16" i="7" s="1"/>
  <c r="BW34" i="5"/>
  <c r="E35" i="5"/>
  <c r="G9" i="4"/>
  <c r="AN15" i="7" s="1"/>
  <c r="BW33" i="5"/>
  <c r="E34" i="5"/>
  <c r="G8" i="4"/>
  <c r="AN14" i="7" s="1"/>
  <c r="BW32" i="5"/>
  <c r="E33" i="5"/>
  <c r="G7" i="4"/>
  <c r="AN13" i="7" s="1"/>
  <c r="BX33" i="2"/>
  <c r="BX32" i="2"/>
  <c r="BX31" i="2"/>
  <c r="BX30" i="2"/>
  <c r="BX29" i="2"/>
  <c r="CH37" i="4"/>
  <c r="O37" i="4"/>
  <c r="Q34" i="4"/>
  <c r="D23" i="4"/>
  <c r="H23" i="4" s="1"/>
  <c r="X29" i="3"/>
  <c r="V29" i="3"/>
  <c r="R17" i="3"/>
  <c r="AF8" i="3"/>
  <c r="AF3" i="3"/>
  <c r="S29" i="3" s="1"/>
  <c r="CL21" i="4" l="1"/>
  <c r="AC29" i="3"/>
  <c r="AQ7" i="5"/>
  <c r="AU19" i="5"/>
  <c r="AT18" i="5"/>
  <c r="FZ9" i="6"/>
  <c r="BY9" i="6"/>
  <c r="GB24" i="6"/>
  <c r="E13" i="7"/>
  <c r="DJ24" i="6"/>
  <c r="E36" i="7"/>
  <c r="G8" i="6"/>
  <c r="DH9" i="6"/>
  <c r="BY8" i="6"/>
  <c r="BY10" i="6"/>
  <c r="E38" i="7"/>
  <c r="E15" i="7"/>
  <c r="GB26" i="6"/>
  <c r="I21" i="6"/>
  <c r="CA21" i="6"/>
  <c r="E10" i="7"/>
  <c r="GB21" i="6"/>
  <c r="DJ21" i="6"/>
  <c r="E33" i="7"/>
  <c r="AR21" i="6"/>
  <c r="DH8" i="6"/>
  <c r="AP9" i="6"/>
  <c r="GB22" i="6"/>
  <c r="E34" i="7"/>
  <c r="AR22" i="6"/>
  <c r="CA22" i="6"/>
  <c r="DJ22" i="6"/>
  <c r="E11" i="7"/>
  <c r="AP8" i="6"/>
  <c r="FZ11" i="6"/>
  <c r="E14" i="7"/>
  <c r="GB25" i="6"/>
  <c r="E37" i="7"/>
  <c r="FZ8" i="6"/>
  <c r="DH10" i="6"/>
  <c r="E35" i="7"/>
  <c r="CA23" i="6"/>
  <c r="DJ23" i="6"/>
  <c r="E12" i="7"/>
  <c r="GB23" i="6"/>
  <c r="FZ12" i="6"/>
  <c r="FZ10" i="6"/>
  <c r="BX32" i="5"/>
  <c r="F33" i="5"/>
  <c r="H7" i="4"/>
  <c r="AO13" i="7" s="1"/>
  <c r="BX33" i="5"/>
  <c r="F34" i="5"/>
  <c r="H8" i="4"/>
  <c r="AO14" i="7" s="1"/>
  <c r="BX34" i="5"/>
  <c r="F35" i="5"/>
  <c r="H9" i="4"/>
  <c r="AO15" i="7" s="1"/>
  <c r="BX35" i="5"/>
  <c r="F36" i="5"/>
  <c r="H10" i="4"/>
  <c r="AO16" i="7" s="1"/>
  <c r="BX36" i="5"/>
  <c r="F37" i="5"/>
  <c r="H11" i="4"/>
  <c r="AO17" i="7" s="1"/>
  <c r="ES21" i="6"/>
  <c r="H33" i="5"/>
  <c r="BZ32" i="5" s="1"/>
  <c r="EQ8" i="6"/>
  <c r="ES22" i="6"/>
  <c r="H34" i="5"/>
  <c r="BZ33" i="5" s="1"/>
  <c r="EQ9" i="6"/>
  <c r="ES23" i="6"/>
  <c r="H35" i="5"/>
  <c r="BZ34" i="5" s="1"/>
  <c r="EQ10" i="6"/>
  <c r="J10" i="4" a="1"/>
  <c r="J10" i="4" s="1"/>
  <c r="ES24" i="6"/>
  <c r="H36" i="5"/>
  <c r="BZ35" i="5" s="1"/>
  <c r="EQ11" i="6"/>
  <c r="J11" i="4" a="1"/>
  <c r="J11" i="4" s="1"/>
  <c r="GE25" i="6" s="1"/>
  <c r="ES25" i="6"/>
  <c r="H37" i="5"/>
  <c r="BZ36" i="5" s="1"/>
  <c r="EQ12" i="6"/>
  <c r="J12" i="4" a="1"/>
  <c r="J12" i="4" s="1"/>
  <c r="GE26" i="6" s="1"/>
  <c r="Z38" i="5"/>
  <c r="GN27" i="6" s="1"/>
  <c r="BX37" i="5"/>
  <c r="F38" i="5"/>
  <c r="H12" i="4"/>
  <c r="AO18" i="7" s="1"/>
  <c r="N19" i="3"/>
  <c r="Q19" i="3" s="1"/>
  <c r="Z32" i="3" s="1"/>
  <c r="K34" i="3" s="1"/>
  <c r="AX34" i="3"/>
  <c r="L21" i="3"/>
  <c r="O21" i="3" s="1"/>
  <c r="BJ34" i="3"/>
  <c r="T26" i="3"/>
  <c r="R27" i="3"/>
  <c r="AG26" i="3"/>
  <c r="AE32" i="3"/>
  <c r="P34" i="3" s="1"/>
  <c r="AP30" i="3"/>
  <c r="AP31" i="3" s="1"/>
  <c r="Z37" i="5" l="1"/>
  <c r="Z33" i="5"/>
  <c r="U27" i="6" s="1"/>
  <c r="Z35" i="5"/>
  <c r="CM27" i="6" s="1"/>
  <c r="Z36" i="5"/>
  <c r="F35" i="7"/>
  <c r="CB23" i="6"/>
  <c r="DK23" i="6"/>
  <c r="F12" i="7"/>
  <c r="GC23" i="6"/>
  <c r="GC24" i="6"/>
  <c r="F13" i="7"/>
  <c r="F36" i="7"/>
  <c r="DK24" i="6"/>
  <c r="AV20" i="3"/>
  <c r="CQ17" i="4"/>
  <c r="F10" i="7"/>
  <c r="GC21" i="6"/>
  <c r="F33" i="7"/>
  <c r="AS21" i="6"/>
  <c r="CB21" i="6"/>
  <c r="DK21" i="6"/>
  <c r="J21" i="6"/>
  <c r="GE24" i="6"/>
  <c r="DM24" i="6"/>
  <c r="F14" i="7"/>
  <c r="GC25" i="6"/>
  <c r="F37" i="7"/>
  <c r="F38" i="7"/>
  <c r="GC26" i="6"/>
  <c r="F15" i="7"/>
  <c r="T27" i="3"/>
  <c r="Z34" i="5"/>
  <c r="AS22" i="6"/>
  <c r="CB22" i="6"/>
  <c r="F11" i="7"/>
  <c r="F34" i="7"/>
  <c r="DK22" i="6"/>
  <c r="GC22" i="6"/>
  <c r="AV25" i="3"/>
  <c r="CQ15" i="4"/>
  <c r="W38" i="5"/>
  <c r="GK27" i="6" s="1"/>
  <c r="AZ25" i="3"/>
  <c r="P19" i="5"/>
  <c r="P23" i="5" s="1"/>
  <c r="AX11" i="5"/>
  <c r="BB10" i="5" s="1"/>
  <c r="M19" i="5"/>
  <c r="CB10" i="4"/>
  <c r="CB13" i="4" s="1"/>
  <c r="CR13" i="4" s="1"/>
  <c r="EV25" i="6"/>
  <c r="EV24" i="6"/>
  <c r="ET25" i="6"/>
  <c r="ET24" i="6"/>
  <c r="ET23" i="6"/>
  <c r="ET22" i="6"/>
  <c r="ET21" i="6"/>
  <c r="W27" i="3"/>
  <c r="AZ20" i="3"/>
  <c r="W33" i="5" l="1"/>
  <c r="R27" i="6" s="1"/>
  <c r="W35" i="5"/>
  <c r="CJ27" i="6" s="1"/>
  <c r="FE27" i="6"/>
  <c r="W37" i="5"/>
  <c r="FB27" i="6" s="1"/>
  <c r="DV27" i="6"/>
  <c r="W36" i="5"/>
  <c r="DS27" i="6" s="1"/>
  <c r="AE27" i="3"/>
  <c r="BD27" i="6"/>
  <c r="W34" i="5"/>
  <c r="BA27" i="6" s="1"/>
  <c r="M23" i="5"/>
  <c r="H20" i="5"/>
  <c r="CC32" i="5"/>
  <c r="CF32" i="5" s="1"/>
  <c r="CI32" i="5" s="1"/>
  <c r="CC33" i="5"/>
  <c r="CF33" i="5" s="1"/>
  <c r="CI33" i="5" s="1"/>
  <c r="CC34" i="5"/>
  <c r="CF34" i="5" s="1"/>
  <c r="CI34" i="5" s="1"/>
  <c r="CC35" i="5"/>
  <c r="CF35" i="5" s="1"/>
  <c r="CC36" i="5"/>
  <c r="CF36" i="5" s="1"/>
  <c r="CC37" i="5"/>
  <c r="CF37" i="5" s="1"/>
  <c r="AP34" i="3"/>
  <c r="M22" i="4"/>
  <c r="O26" i="4" s="1"/>
  <c r="CI37" i="5" l="1"/>
  <c r="CI36" i="5"/>
  <c r="CI35" i="5"/>
  <c r="H24" i="5"/>
  <c r="AF8" i="2"/>
  <c r="BO6" i="2" s="1"/>
  <c r="BO9" i="2" s="1"/>
  <c r="ES10" i="6" l="1"/>
  <c r="GB12" i="6"/>
  <c r="GB10" i="6"/>
  <c r="CA9" i="6"/>
  <c r="ES8" i="6"/>
  <c r="DJ8" i="6"/>
  <c r="GB11" i="6"/>
  <c r="GB9" i="6"/>
  <c r="GB8" i="6"/>
  <c r="I8" i="6"/>
  <c r="AR8" i="6"/>
  <c r="DJ9" i="6"/>
  <c r="CA10" i="6"/>
  <c r="DJ10" i="6"/>
  <c r="ES9" i="6"/>
  <c r="CA8" i="6"/>
  <c r="AR9" i="6"/>
  <c r="ES11" i="6"/>
  <c r="CO11" i="5"/>
  <c r="AV36" i="5"/>
  <c r="AQ32" i="5"/>
  <c r="BZ29" i="2"/>
  <c r="BZ30" i="2"/>
  <c r="BZ31" i="2"/>
  <c r="BZ32" i="2"/>
  <c r="BZ33" i="2"/>
  <c r="BO22" i="2"/>
  <c r="BH25" i="2" s="1"/>
  <c r="BM25" i="2" s="1"/>
  <c r="CG12" i="2" s="1"/>
  <c r="CM12" i="2" s="1"/>
  <c r="BB12" i="2"/>
  <c r="BM12" i="2" s="1"/>
  <c r="CG11" i="2" s="1"/>
  <c r="CM11" i="2" s="1"/>
  <c r="AF20" i="2"/>
  <c r="AF21" i="2" s="1"/>
  <c r="AF31" i="2"/>
  <c r="AF32" i="2" s="1"/>
  <c r="Y37" i="2" s="1"/>
  <c r="AD37" i="2" s="1"/>
  <c r="CG9" i="2" s="1"/>
  <c r="CM9" i="2" s="1"/>
  <c r="AF9" i="2"/>
  <c r="U13" i="2" s="1"/>
  <c r="AF10" i="2"/>
  <c r="R13" i="2" s="1"/>
  <c r="CM13" i="2" l="1"/>
  <c r="CE18" i="2" s="1"/>
  <c r="CN18" i="2" s="1"/>
  <c r="DP11" i="6" s="1"/>
  <c r="DV11" i="6" s="1"/>
  <c r="DS24" i="6" s="1"/>
  <c r="DY24" i="6" s="1"/>
  <c r="GH8" i="6"/>
  <c r="CF29" i="2"/>
  <c r="O8" i="6"/>
  <c r="CG8" i="6"/>
  <c r="AX8" i="6"/>
  <c r="DP8" i="6"/>
  <c r="EY8" i="6"/>
  <c r="EY9" i="6"/>
  <c r="CH21" i="5"/>
  <c r="CF23" i="5" s="1"/>
  <c r="CI13" i="5"/>
  <c r="AD13" i="2"/>
  <c r="CG7" i="2" s="1"/>
  <c r="S25" i="2"/>
  <c r="AD25" i="2" s="1"/>
  <c r="CG8" i="2" s="1"/>
  <c r="CM8" i="2" s="1"/>
  <c r="CF34" i="2" l="1"/>
  <c r="CL34" i="2" s="1"/>
  <c r="P12" i="4" s="1"/>
  <c r="CF33" i="2"/>
  <c r="CL33" i="2" s="1"/>
  <c r="P11" i="4" s="1"/>
  <c r="V11" i="4" s="1"/>
  <c r="AX9" i="6"/>
  <c r="CF32" i="2"/>
  <c r="CL32" i="2" s="1"/>
  <c r="P10" i="4" s="1"/>
  <c r="V10" i="4" s="1"/>
  <c r="CG10" i="6"/>
  <c r="CF31" i="2"/>
  <c r="DP10" i="6"/>
  <c r="CF30" i="2"/>
  <c r="EY11" i="6"/>
  <c r="FE11" i="6" s="1"/>
  <c r="FB24" i="6" s="1"/>
  <c r="FH24" i="6" s="1"/>
  <c r="CG9" i="6"/>
  <c r="GH12" i="6"/>
  <c r="GN12" i="6" s="1"/>
  <c r="GK25" i="6" s="1"/>
  <c r="GQ25" i="6" s="1"/>
  <c r="GH13" i="6"/>
  <c r="GN13" i="6" s="1"/>
  <c r="GK26" i="6" s="1"/>
  <c r="GQ26" i="6" s="1"/>
  <c r="GH10" i="6"/>
  <c r="GH11" i="6"/>
  <c r="GN11" i="6" s="1"/>
  <c r="GK24" i="6" s="1"/>
  <c r="GQ24" i="6" s="1"/>
  <c r="DP9" i="6"/>
  <c r="EY10" i="6"/>
  <c r="GH9" i="6"/>
  <c r="EY12" i="6"/>
  <c r="FE12" i="6" s="1"/>
  <c r="FB25" i="6" s="1"/>
  <c r="FH25" i="6" s="1"/>
  <c r="V12" i="4"/>
  <c r="S14" i="4"/>
  <c r="AD14" i="2"/>
  <c r="F36" i="3"/>
  <c r="J36" i="3"/>
  <c r="AT35" i="1"/>
  <c r="CJ7" i="2" l="1"/>
  <c r="AP10" i="3"/>
  <c r="AS10" i="3" s="1"/>
  <c r="AV10" i="3" s="1"/>
  <c r="AP9" i="3"/>
  <c r="AS9" i="3" s="1"/>
  <c r="AV9" i="3" s="1"/>
  <c r="AP3" i="3"/>
  <c r="AS3" i="3" s="1"/>
  <c r="AV3" i="3" s="1"/>
  <c r="AP11" i="3"/>
  <c r="AS11" i="3" s="1"/>
  <c r="AV11" i="3" s="1"/>
  <c r="AP4" i="3"/>
  <c r="AS4" i="3" s="1"/>
  <c r="AV4" i="3" s="1"/>
  <c r="AP12" i="3"/>
  <c r="AS12" i="3" s="1"/>
  <c r="AV12" i="3" s="1"/>
  <c r="AP5" i="3"/>
  <c r="AS5" i="3" s="1"/>
  <c r="AV5" i="3" s="1"/>
  <c r="AP13" i="3"/>
  <c r="AS13" i="3" s="1"/>
  <c r="AV13" i="3" s="1"/>
  <c r="AP6" i="3"/>
  <c r="AS6" i="3" s="1"/>
  <c r="AV6" i="3" s="1"/>
  <c r="AP14" i="3"/>
  <c r="AS14" i="3" s="1"/>
  <c r="AV14" i="3" s="1"/>
  <c r="AP7" i="3"/>
  <c r="AS7" i="3" s="1"/>
  <c r="AV7" i="3" s="1"/>
  <c r="AP15" i="3"/>
  <c r="AS15" i="3" s="1"/>
  <c r="AV15" i="3" s="1"/>
  <c r="AP8" i="3"/>
  <c r="AS8" i="3" s="1"/>
  <c r="AV8" i="3" s="1"/>
  <c r="AP16" i="3"/>
  <c r="AS16" i="3" s="1"/>
  <c r="AV16" i="3" s="1"/>
  <c r="BF34" i="3"/>
  <c r="AP35" i="3" s="1"/>
  <c r="CJ10" i="2" l="1"/>
  <c r="J9" i="4" s="1" a="1"/>
  <c r="J9" i="4" s="1"/>
  <c r="CM7" i="2"/>
  <c r="CM10" i="2" s="1"/>
  <c r="CE17" i="2" s="1"/>
  <c r="P14" i="4"/>
  <c r="AL4" i="3"/>
  <c r="AL12" i="3"/>
  <c r="AL5" i="3"/>
  <c r="AL13" i="3"/>
  <c r="AL6" i="3"/>
  <c r="AL14" i="3"/>
  <c r="AL15" i="3"/>
  <c r="AL3" i="3"/>
  <c r="AL7" i="3"/>
  <c r="AL8" i="3"/>
  <c r="AL16" i="3"/>
  <c r="AL9" i="3"/>
  <c r="AL10" i="3"/>
  <c r="AL11" i="3"/>
  <c r="DM23" i="6" l="1"/>
  <c r="GE23" i="6"/>
  <c r="CD23" i="6"/>
  <c r="EV23" i="6"/>
  <c r="J8" i="4" a="1"/>
  <c r="J8" i="4" s="1"/>
  <c r="EV22" i="6" s="1"/>
  <c r="CI17" i="2"/>
  <c r="CN17" i="2" s="1"/>
  <c r="J7" i="4" a="1"/>
  <c r="J7" i="4" s="1"/>
  <c r="BM9" i="3"/>
  <c r="BM7" i="3"/>
  <c r="BM5" i="3"/>
  <c r="BM11" i="3"/>
  <c r="CD22" i="6" l="1"/>
  <c r="DS10" i="6"/>
  <c r="DV10" i="6" s="1"/>
  <c r="DS23" i="6" s="1"/>
  <c r="DY23" i="6" s="1"/>
  <c r="CI31" i="2"/>
  <c r="CL31" i="2" s="1"/>
  <c r="P9" i="4" s="1"/>
  <c r="V9" i="4" s="1"/>
  <c r="CJ10" i="6"/>
  <c r="CM10" i="6" s="1"/>
  <c r="CJ23" i="6" s="1"/>
  <c r="CP23" i="6" s="1"/>
  <c r="GK10" i="6"/>
  <c r="GN10" i="6" s="1"/>
  <c r="GK23" i="6" s="1"/>
  <c r="GQ23" i="6" s="1"/>
  <c r="FB10" i="6"/>
  <c r="FE10" i="6" s="1"/>
  <c r="FB23" i="6" s="1"/>
  <c r="FH23" i="6" s="1"/>
  <c r="AU22" i="6"/>
  <c r="DM22" i="6"/>
  <c r="GE22" i="6"/>
  <c r="CI30" i="2"/>
  <c r="CL30" i="2" s="1"/>
  <c r="P8" i="4" s="1"/>
  <c r="V8" i="4" s="1"/>
  <c r="GK9" i="6"/>
  <c r="GN9" i="6" s="1"/>
  <c r="GK22" i="6" s="1"/>
  <c r="BA9" i="6"/>
  <c r="BD9" i="6" s="1"/>
  <c r="BA22" i="6" s="1"/>
  <c r="DS9" i="6"/>
  <c r="DV9" i="6" s="1"/>
  <c r="DS22" i="6" s="1"/>
  <c r="CJ9" i="6"/>
  <c r="CM9" i="6" s="1"/>
  <c r="CJ22" i="6" s="1"/>
  <c r="FB9" i="6"/>
  <c r="FE9" i="6" s="1"/>
  <c r="FB22" i="6" s="1"/>
  <c r="FH22" i="6" s="1"/>
  <c r="L21" i="6"/>
  <c r="GE21" i="6"/>
  <c r="AU21" i="6"/>
  <c r="CD21" i="6"/>
  <c r="DM21" i="6"/>
  <c r="R8" i="6"/>
  <c r="U8" i="6" s="1"/>
  <c r="R21" i="6" s="1"/>
  <c r="FB8" i="6"/>
  <c r="FE8" i="6" s="1"/>
  <c r="FB21" i="6" s="1"/>
  <c r="BA8" i="6"/>
  <c r="BD8" i="6" s="1"/>
  <c r="BA21" i="6" s="1"/>
  <c r="GK8" i="6"/>
  <c r="GN8" i="6" s="1"/>
  <c r="GK21" i="6" s="1"/>
  <c r="DS8" i="6"/>
  <c r="DV8" i="6" s="1"/>
  <c r="DS21" i="6" s="1"/>
  <c r="CJ8" i="6"/>
  <c r="CM8" i="6" s="1"/>
  <c r="CJ21" i="6" s="1"/>
  <c r="AP20" i="3"/>
  <c r="AP21" i="3" s="1"/>
  <c r="M14" i="4" s="1"/>
  <c r="Z14" i="4" s="1"/>
  <c r="Z15" i="4" s="1"/>
  <c r="H8" i="5"/>
  <c r="R9" i="5" s="1"/>
  <c r="W9" i="5" s="1"/>
  <c r="R12" i="5" s="1"/>
  <c r="AB12" i="5" s="1"/>
  <c r="EV21" i="6"/>
  <c r="CI29" i="2"/>
  <c r="CL29" i="2" s="1"/>
  <c r="P7" i="4" s="1"/>
  <c r="AP25" i="3"/>
  <c r="AP26" i="3" s="1"/>
  <c r="J14" i="4" s="1"/>
  <c r="CP22" i="6" l="1"/>
  <c r="GQ22" i="6"/>
  <c r="DY22" i="6"/>
  <c r="BG22" i="6"/>
  <c r="CP21" i="6"/>
  <c r="BG21" i="6"/>
  <c r="DY21" i="6"/>
  <c r="GQ21" i="6"/>
  <c r="X21" i="6"/>
  <c r="V7" i="4"/>
  <c r="FH21" i="6"/>
  <c r="K38" i="5"/>
  <c r="N38" i="5" s="1"/>
  <c r="K33" i="5"/>
  <c r="N33" i="5" s="1"/>
  <c r="K34" i="5"/>
  <c r="N34" i="5" s="1"/>
  <c r="K35" i="5"/>
  <c r="N35" i="5" s="1"/>
  <c r="K36" i="5"/>
  <c r="N36" i="5" s="1"/>
  <c r="K37" i="5"/>
  <c r="N37" i="5" s="1"/>
  <c r="V14" i="4"/>
  <c r="J15" i="4"/>
  <c r="M15" i="4"/>
  <c r="BB19" i="4"/>
  <c r="V15" i="4" l="1"/>
  <c r="N19" i="4" s="1"/>
  <c r="CH15" i="4"/>
  <c r="CI9" i="4"/>
  <c r="CC12" i="4" s="1"/>
  <c r="Q37" i="5"/>
  <c r="EV27" i="6" s="1"/>
  <c r="T37" i="5"/>
  <c r="EY27" i="6" s="1"/>
  <c r="Q36" i="5"/>
  <c r="DM27" i="6" s="1"/>
  <c r="T36" i="5"/>
  <c r="DP27" i="6" s="1"/>
  <c r="Q35" i="5"/>
  <c r="CD27" i="6" s="1"/>
  <c r="T35" i="5"/>
  <c r="CG27" i="6" s="1"/>
  <c r="T34" i="5"/>
  <c r="AX27" i="6" s="1"/>
  <c r="Q34" i="5"/>
  <c r="AU27" i="6" s="1"/>
  <c r="T33" i="5"/>
  <c r="O27" i="6" s="1"/>
  <c r="Q33" i="5"/>
  <c r="L27" i="6" s="1"/>
  <c r="Q38" i="5"/>
  <c r="T38" i="5"/>
  <c r="O35" i="4"/>
  <c r="CH17" i="4"/>
  <c r="M34" i="4"/>
  <c r="P20" i="4"/>
  <c r="R19" i="4"/>
  <c r="AX19" i="4" l="1"/>
  <c r="BG19" i="4" s="1"/>
  <c r="BY9" i="4" s="1"/>
  <c r="BY12" i="4" s="1"/>
  <c r="CR12" i="4" s="1"/>
  <c r="CW12" i="4" s="1"/>
  <c r="AB27" i="6"/>
  <c r="BK27" i="6"/>
  <c r="CT27" i="6"/>
  <c r="CP27" i="6"/>
  <c r="FL27" i="6"/>
  <c r="GH27" i="6"/>
  <c r="EC27" i="6"/>
  <c r="FH27" i="6"/>
  <c r="GE27" i="6"/>
  <c r="BG27" i="6"/>
  <c r="DY27" i="6"/>
  <c r="X27" i="6"/>
  <c r="G37" i="4"/>
  <c r="J37" i="4" s="1"/>
  <c r="S37" i="4" s="1"/>
  <c r="U34" i="4"/>
  <c r="W19" i="4"/>
  <c r="BY2" i="4" s="1"/>
  <c r="CL17" i="4" l="1"/>
  <c r="BA5" i="5"/>
  <c r="CG23" i="4"/>
  <c r="CL23" i="4" s="1"/>
  <c r="CQ23" i="4" s="1"/>
  <c r="BA6" i="5" s="1"/>
  <c r="CL15" i="4"/>
  <c r="CU15" i="4" s="1"/>
  <c r="CK30" i="4" s="1"/>
  <c r="CV30" i="4" s="1"/>
  <c r="BY32" i="4" s="1"/>
  <c r="BY37" i="4" s="1"/>
  <c r="GQ27" i="6"/>
  <c r="GU27" i="6"/>
  <c r="G26" i="4"/>
  <c r="J26" i="4" s="1"/>
  <c r="S26" i="4" s="1"/>
  <c r="AR25" i="5" l="1"/>
  <c r="AX18" i="5"/>
  <c r="AT20" i="5" s="1"/>
  <c r="CK26" i="4"/>
  <c r="CV26" i="4" s="1"/>
  <c r="BY28" i="4" s="1"/>
  <c r="BY35" i="4" s="1"/>
  <c r="CB35" i="4" s="1"/>
  <c r="CK35" i="4" s="1"/>
  <c r="CB37" i="4"/>
  <c r="CK37" i="4" s="1"/>
  <c r="AQ20" i="5" l="1"/>
  <c r="CD11" i="5" s="1"/>
  <c r="CG12" i="5"/>
  <c r="CG11" i="5"/>
  <c r="AX25" i="5"/>
  <c r="AU27" i="5" s="1"/>
  <c r="CD12" i="5" l="1"/>
  <c r="CX33" i="5" s="1"/>
  <c r="BD28" i="6" s="1"/>
  <c r="AU25" i="5"/>
  <c r="AQ27" i="5" s="1"/>
  <c r="CL32" i="5" s="1"/>
  <c r="CX37" i="5"/>
  <c r="CX36" i="5"/>
  <c r="CX35" i="5"/>
  <c r="CX34" i="5" l="1"/>
  <c r="CM28" i="6" s="1"/>
  <c r="CX32" i="5"/>
  <c r="U28" i="6" s="1"/>
  <c r="CL34" i="5"/>
  <c r="CL35" i="5"/>
  <c r="CR35" i="5" s="1"/>
  <c r="DP28" i="6" s="1"/>
  <c r="CL36" i="5"/>
  <c r="CO36" i="5" s="1"/>
  <c r="EV28" i="6" s="1"/>
  <c r="CL33" i="5"/>
  <c r="CO33" i="5" s="1"/>
  <c r="AU28" i="6" s="1"/>
  <c r="CL37" i="5"/>
  <c r="CO37" i="5" s="1"/>
  <c r="GE28" i="6" s="1"/>
  <c r="FE28" i="6"/>
  <c r="CU36" i="5"/>
  <c r="FB28" i="6" s="1"/>
  <c r="GN28" i="6"/>
  <c r="CU37" i="5"/>
  <c r="GK28" i="6" s="1"/>
  <c r="DV28" i="6"/>
  <c r="CU35" i="5"/>
  <c r="DS28" i="6" s="1"/>
  <c r="CU33" i="5"/>
  <c r="BA28" i="6" s="1"/>
  <c r="CR34" i="5"/>
  <c r="CG28" i="6" s="1"/>
  <c r="CO34" i="5"/>
  <c r="CD28" i="6" s="1"/>
  <c r="CR32" i="5"/>
  <c r="O28" i="6" s="1"/>
  <c r="CO32" i="5"/>
  <c r="L28" i="6" s="1"/>
  <c r="CU34" i="5" l="1"/>
  <c r="CJ28" i="6" s="1"/>
  <c r="CP28" i="6" s="1"/>
  <c r="CP29" i="6" s="1"/>
  <c r="Q12" i="7" s="1"/>
  <c r="CR36" i="5"/>
  <c r="EY28" i="6" s="1"/>
  <c r="EY29" i="6" s="1"/>
  <c r="N14" i="7" s="1"/>
  <c r="AQ17" i="7" s="1"/>
  <c r="CO35" i="5"/>
  <c r="DM28" i="6" s="1"/>
  <c r="DY28" i="6" s="1"/>
  <c r="DY29" i="6" s="1"/>
  <c r="Q13" i="7" s="1"/>
  <c r="CU32" i="5"/>
  <c r="R28" i="6" s="1"/>
  <c r="X28" i="6" s="1"/>
  <c r="X29" i="6" s="1"/>
  <c r="Q10" i="7" s="1"/>
  <c r="CR37" i="5"/>
  <c r="GH28" i="6" s="1"/>
  <c r="GH29" i="6" s="1"/>
  <c r="N15" i="7" s="1"/>
  <c r="AQ18" i="7" s="1"/>
  <c r="CR33" i="5"/>
  <c r="AX28" i="6" s="1"/>
  <c r="BK28" i="6" s="1"/>
  <c r="BK29" i="6" s="1"/>
  <c r="T11" i="7" s="1"/>
  <c r="EC28" i="6"/>
  <c r="EC29" i="6" s="1"/>
  <c r="T13" i="7" s="1"/>
  <c r="DP29" i="6"/>
  <c r="N13" i="7" s="1"/>
  <c r="AQ16" i="7" s="1"/>
  <c r="AB28" i="6"/>
  <c r="AB29" i="6" s="1"/>
  <c r="T10" i="7" s="1"/>
  <c r="O29" i="6"/>
  <c r="N10" i="7" s="1"/>
  <c r="AQ13" i="7" s="1"/>
  <c r="AT13" i="7" s="1"/>
  <c r="AY13" i="7" s="1"/>
  <c r="BD13" i="7" s="1"/>
  <c r="CD29" i="6"/>
  <c r="K12" i="7" s="1"/>
  <c r="H35" i="7" s="1"/>
  <c r="L29" i="6"/>
  <c r="K10" i="7" s="1"/>
  <c r="H33" i="7" s="1"/>
  <c r="CT28" i="6"/>
  <c r="CT29" i="6" s="1"/>
  <c r="T12" i="7" s="1"/>
  <c r="CG29" i="6"/>
  <c r="N12" i="7" s="1"/>
  <c r="AQ15" i="7" s="1"/>
  <c r="BG28" i="6"/>
  <c r="BG29" i="6" s="1"/>
  <c r="Q11" i="7" s="1"/>
  <c r="AU29" i="6"/>
  <c r="K11" i="7" s="1"/>
  <c r="H34" i="7" s="1"/>
  <c r="GQ28" i="6"/>
  <c r="GQ29" i="6" s="1"/>
  <c r="Q15" i="7" s="1"/>
  <c r="GE29" i="6"/>
  <c r="K15" i="7" s="1"/>
  <c r="H38" i="7" s="1"/>
  <c r="FH28" i="6"/>
  <c r="FH29" i="6" s="1"/>
  <c r="Q14" i="7" s="1"/>
  <c r="EV29" i="6"/>
  <c r="K14" i="7" s="1"/>
  <c r="H37" i="7" s="1"/>
  <c r="FL28" i="6" l="1"/>
  <c r="FL29" i="6" s="1"/>
  <c r="T14" i="7" s="1"/>
  <c r="DM29" i="6"/>
  <c r="K13" i="7" s="1"/>
  <c r="H36" i="7" s="1"/>
  <c r="GU28" i="6"/>
  <c r="GU29" i="6" s="1"/>
  <c r="T15" i="7" s="1"/>
  <c r="W15" i="7" s="1"/>
  <c r="K38" i="7" s="1"/>
  <c r="Q38" i="7" s="1"/>
  <c r="X38" i="7" s="1"/>
  <c r="AX29" i="6"/>
  <c r="N11" i="7" s="1"/>
  <c r="AQ14" i="7" s="1"/>
  <c r="AT14" i="7" s="1"/>
  <c r="AY14" i="7" s="1"/>
  <c r="BD14" i="7" s="1"/>
  <c r="AT17" i="7"/>
  <c r="AY17" i="7" s="1"/>
  <c r="BD17" i="7" s="1"/>
  <c r="AT15" i="7"/>
  <c r="AY15" i="7" s="1"/>
  <c r="BD15" i="7" s="1"/>
  <c r="AT18" i="7"/>
  <c r="AY18" i="7" s="1"/>
  <c r="BD18" i="7" s="1"/>
  <c r="AT16" i="7"/>
  <c r="AY16" i="7" s="1"/>
  <c r="BD16" i="7" s="1"/>
  <c r="W14" i="7"/>
  <c r="K37" i="7" s="1"/>
  <c r="Q37" i="7" s="1"/>
  <c r="X37" i="7" s="1"/>
  <c r="W10" i="7"/>
  <c r="K33" i="7" s="1"/>
  <c r="Q33" i="7" s="1"/>
  <c r="X33" i="7" s="1"/>
  <c r="W11" i="7"/>
  <c r="K34" i="7" s="1"/>
  <c r="N34" i="7" s="1"/>
  <c r="U34" i="7" s="1"/>
  <c r="W12" i="7"/>
  <c r="K35" i="7" s="1"/>
  <c r="Q35" i="7" s="1"/>
  <c r="X35" i="7" s="1"/>
  <c r="W13" i="7" l="1"/>
  <c r="K36" i="7" s="1"/>
  <c r="Q36" i="7" s="1"/>
  <c r="X36" i="7" s="1"/>
  <c r="N38" i="7"/>
  <c r="U38" i="7" s="1"/>
  <c r="N35" i="7"/>
  <c r="U35" i="7" s="1"/>
  <c r="Q34" i="7"/>
  <c r="X34" i="7" s="1"/>
  <c r="AE34" i="7" s="1"/>
  <c r="N33" i="7"/>
  <c r="U33" i="7" s="1"/>
  <c r="N37" i="7"/>
  <c r="U37" i="7" s="1"/>
  <c r="AB38" i="7" l="1"/>
  <c r="AE38" i="7"/>
  <c r="AE35" i="7"/>
  <c r="AB35" i="7"/>
  <c r="AB33" i="7"/>
  <c r="AE33" i="7"/>
  <c r="AB34" i="7"/>
  <c r="AB37" i="7"/>
  <c r="AE37" i="7"/>
  <c r="N36" i="7"/>
  <c r="U36" i="7" s="1"/>
  <c r="AE36" i="7" l="1"/>
  <c r="AB36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<sst xmlns="http://schemas.openxmlformats.org/spreadsheetml/2006/main" count="1718" uniqueCount="511">
  <si>
    <t>1. 設計条件</t>
    <rPh sb="3" eb="5">
      <t>セッケイ</t>
    </rPh>
    <rPh sb="5" eb="7">
      <t>ジョウケン</t>
    </rPh>
    <phoneticPr fontId="1"/>
  </si>
  <si>
    <t>1-1. 形状寸法</t>
    <rPh sb="5" eb="7">
      <t>ケイジョウ</t>
    </rPh>
    <rPh sb="7" eb="9">
      <t>スンポウ</t>
    </rPh>
    <phoneticPr fontId="1"/>
  </si>
  <si>
    <t>=</t>
    <phoneticPr fontId="1"/>
  </si>
  <si>
    <t>m</t>
    <phoneticPr fontId="1"/>
  </si>
  <si>
    <t>天端幅</t>
    <rPh sb="0" eb="1">
      <t>テン</t>
    </rPh>
    <rPh sb="1" eb="2">
      <t>ハシ</t>
    </rPh>
    <rPh sb="2" eb="3">
      <t>ハバ</t>
    </rPh>
    <phoneticPr fontId="1"/>
  </si>
  <si>
    <t>c</t>
    <phoneticPr fontId="1"/>
  </si>
  <si>
    <t>：</t>
    <phoneticPr fontId="1"/>
  </si>
  <si>
    <t>1-2. コンクリート規格</t>
    <rPh sb="11" eb="13">
      <t>キカク</t>
    </rPh>
    <phoneticPr fontId="1"/>
  </si>
  <si>
    <t>設計基準強度</t>
    <rPh sb="0" eb="2">
      <t>セッケイ</t>
    </rPh>
    <rPh sb="2" eb="4">
      <t>キジュン</t>
    </rPh>
    <rPh sb="4" eb="6">
      <t>キョウド</t>
    </rPh>
    <phoneticPr fontId="1"/>
  </si>
  <si>
    <r>
      <t>σ</t>
    </r>
    <r>
      <rPr>
        <vertAlign val="subscript"/>
        <sz val="11"/>
        <color theme="1"/>
        <rFont val="Times New Roman"/>
        <family val="1"/>
      </rPr>
      <t>ck</t>
    </r>
    <phoneticPr fontId="1"/>
  </si>
  <si>
    <t>kN/m²</t>
    <phoneticPr fontId="1"/>
  </si>
  <si>
    <t>単位体積重量</t>
    <rPh sb="0" eb="2">
      <t>タンイ</t>
    </rPh>
    <rPh sb="2" eb="4">
      <t>タイセキ</t>
    </rPh>
    <rPh sb="4" eb="6">
      <t>ジュウリョウ</t>
    </rPh>
    <phoneticPr fontId="1"/>
  </si>
  <si>
    <t>kN/m³</t>
    <phoneticPr fontId="1"/>
  </si>
  <si>
    <t>1-3. 裏込め材料</t>
    <rPh sb="5" eb="7">
      <t>ウラコ</t>
    </rPh>
    <rPh sb="8" eb="10">
      <t>ザイリョウ</t>
    </rPh>
    <phoneticPr fontId="1"/>
  </si>
  <si>
    <t>裏込め土</t>
    <rPh sb="0" eb="2">
      <t>ウラコ</t>
    </rPh>
    <rPh sb="3" eb="4">
      <t>ツチ</t>
    </rPh>
    <phoneticPr fontId="1"/>
  </si>
  <si>
    <t>せん断抵抗角</t>
    <rPh sb="2" eb="3">
      <t>ダン</t>
    </rPh>
    <rPh sb="3" eb="5">
      <t>テイコウ</t>
    </rPh>
    <rPh sb="5" eb="6">
      <t>カク</t>
    </rPh>
    <phoneticPr fontId="1"/>
  </si>
  <si>
    <t>φ</t>
    <phoneticPr fontId="1"/>
  </si>
  <si>
    <r>
      <t>γ</t>
    </r>
    <r>
      <rPr>
        <vertAlign val="subscript"/>
        <sz val="11"/>
        <color theme="1"/>
        <rFont val="Times New Roman"/>
        <family val="1"/>
      </rPr>
      <t>s</t>
    </r>
    <phoneticPr fontId="1"/>
  </si>
  <si>
    <t>°</t>
    <phoneticPr fontId="1"/>
  </si>
  <si>
    <t>粘着力</t>
    <rPh sb="0" eb="2">
      <t>ネンチャク</t>
    </rPh>
    <rPh sb="2" eb="3">
      <t>チカラ</t>
    </rPh>
    <phoneticPr fontId="1"/>
  </si>
  <si>
    <t>底面と地盤の摩擦係数</t>
    <rPh sb="0" eb="2">
      <t>テイメン</t>
    </rPh>
    <rPh sb="3" eb="5">
      <t>ジバン</t>
    </rPh>
    <rPh sb="6" eb="8">
      <t>マサツ</t>
    </rPh>
    <rPh sb="8" eb="10">
      <t>ケイスウ</t>
    </rPh>
    <phoneticPr fontId="5"/>
  </si>
  <si>
    <t>粘着力</t>
    <rPh sb="0" eb="2">
      <t>ネンチャク</t>
    </rPh>
    <rPh sb="2" eb="3">
      <t>リョク</t>
    </rPh>
    <phoneticPr fontId="5"/>
  </si>
  <si>
    <t>許容鉛直支持力度（常時）</t>
    <rPh sb="0" eb="2">
      <t>キョヨウ</t>
    </rPh>
    <rPh sb="2" eb="4">
      <t>エンチョク</t>
    </rPh>
    <rPh sb="4" eb="8">
      <t>シジリョクド</t>
    </rPh>
    <rPh sb="9" eb="11">
      <t>ジョウジ</t>
    </rPh>
    <phoneticPr fontId="5"/>
  </si>
  <si>
    <t>μ</t>
    <phoneticPr fontId="1"/>
  </si>
  <si>
    <r>
      <rPr>
        <i/>
        <sz val="11"/>
        <color theme="1"/>
        <rFont val="Times New Roman"/>
        <family val="1"/>
      </rPr>
      <t>q</t>
    </r>
    <r>
      <rPr>
        <vertAlign val="subscript"/>
        <sz val="11"/>
        <color theme="1"/>
        <rFont val="Times New Roman"/>
        <family val="1"/>
      </rPr>
      <t>a</t>
    </r>
    <phoneticPr fontId="1"/>
  </si>
  <si>
    <t>1-5. 上載荷重と地下水位</t>
    <rPh sb="10" eb="14">
      <t>チカスイイ</t>
    </rPh>
    <phoneticPr fontId="5"/>
  </si>
  <si>
    <t>上載荷重</t>
    <phoneticPr fontId="5"/>
  </si>
  <si>
    <t>地下水位</t>
    <rPh sb="0" eb="4">
      <t>チカスイイ</t>
    </rPh>
    <phoneticPr fontId="5"/>
  </si>
  <si>
    <t>q</t>
    <phoneticPr fontId="1"/>
  </si>
  <si>
    <t>なし</t>
    <phoneticPr fontId="1"/>
  </si>
  <si>
    <t>常時</t>
    <rPh sb="0" eb="2">
      <t>ジョウジ</t>
    </rPh>
    <phoneticPr fontId="1"/>
  </si>
  <si>
    <t>転倒に対する安定条件</t>
    <rPh sb="0" eb="2">
      <t>テントウ</t>
    </rPh>
    <rPh sb="3" eb="4">
      <t>タイ</t>
    </rPh>
    <rPh sb="6" eb="8">
      <t>アンテイ</t>
    </rPh>
    <rPh sb="8" eb="10">
      <t>ジョウケン</t>
    </rPh>
    <phoneticPr fontId="1"/>
  </si>
  <si>
    <t>滑動に対する安全率</t>
    <rPh sb="0" eb="2">
      <t>カツドウ</t>
    </rPh>
    <rPh sb="3" eb="4">
      <t>タイ</t>
    </rPh>
    <rPh sb="6" eb="9">
      <t>アンゼンリツ</t>
    </rPh>
    <phoneticPr fontId="1"/>
  </si>
  <si>
    <t>許容鉛直支持力度</t>
    <rPh sb="0" eb="2">
      <t>キョヨウ</t>
    </rPh>
    <rPh sb="2" eb="4">
      <t>エンチョク</t>
    </rPh>
    <rPh sb="4" eb="7">
      <t>シジリョク</t>
    </rPh>
    <rPh sb="7" eb="8">
      <t>ド</t>
    </rPh>
    <phoneticPr fontId="1"/>
  </si>
  <si>
    <t>kN/m²</t>
    <phoneticPr fontId="5"/>
  </si>
  <si>
    <t>H</t>
    <phoneticPr fontId="1"/>
  </si>
  <si>
    <t>B</t>
    <phoneticPr fontId="1"/>
  </si>
  <si>
    <t>b</t>
    <phoneticPr fontId="1"/>
  </si>
  <si>
    <r>
      <t>b</t>
    </r>
    <r>
      <rPr>
        <sz val="11"/>
        <color theme="1"/>
        <rFont val="Times New Roman"/>
        <family val="1"/>
      </rPr>
      <t>₁</t>
    </r>
    <phoneticPr fontId="1"/>
  </si>
  <si>
    <t>面積</t>
    <rPh sb="0" eb="2">
      <t>メンセキ</t>
    </rPh>
    <phoneticPr fontId="1"/>
  </si>
  <si>
    <t>A</t>
    <phoneticPr fontId="1"/>
  </si>
  <si>
    <r>
      <t>x</t>
    </r>
    <r>
      <rPr>
        <vertAlign val="subscript"/>
        <sz val="11"/>
        <color theme="1"/>
        <rFont val="Times New Roman"/>
        <family val="1"/>
      </rPr>
      <t>G</t>
    </r>
    <phoneticPr fontId="1"/>
  </si>
  <si>
    <t>(</t>
    <phoneticPr fontId="1"/>
  </si>
  <si>
    <t>)</t>
    <phoneticPr fontId="1"/>
  </si>
  <si>
    <t>×</t>
    <phoneticPr fontId="1"/>
  </si>
  <si>
    <t>kN/m</t>
    <phoneticPr fontId="1"/>
  </si>
  <si>
    <t>主働土圧は、試行くさび法によって算出する。（H24道擁p100）</t>
    <rPh sb="0" eb="2">
      <t>シュドウ</t>
    </rPh>
    <rPh sb="2" eb="4">
      <t>ドアツ</t>
    </rPh>
    <rPh sb="6" eb="8">
      <t>シコウ</t>
    </rPh>
    <rPh sb="11" eb="12">
      <t>ホウ</t>
    </rPh>
    <rPh sb="16" eb="18">
      <t>サンシュツ</t>
    </rPh>
    <rPh sb="25" eb="26">
      <t>ミチ</t>
    </rPh>
    <rPh sb="26" eb="27">
      <t>ヨウ</t>
    </rPh>
    <phoneticPr fontId="1"/>
  </si>
  <si>
    <t>P</t>
    <phoneticPr fontId="1"/>
  </si>
  <si>
    <t>W</t>
    <phoneticPr fontId="1"/>
  </si>
  <si>
    <t>・</t>
    <phoneticPr fontId="1"/>
  </si>
  <si>
    <t>+</t>
    <phoneticPr fontId="1"/>
  </si>
  <si>
    <t>ー</t>
    <phoneticPr fontId="1"/>
  </si>
  <si>
    <t>tan α</t>
    <phoneticPr fontId="1"/>
  </si>
  <si>
    <t>ここに</t>
    <phoneticPr fontId="1"/>
  </si>
  <si>
    <t>主働土圧合力</t>
    <rPh sb="0" eb="2">
      <t>シュドウ</t>
    </rPh>
    <rPh sb="2" eb="4">
      <t>ドアツ</t>
    </rPh>
    <rPh sb="4" eb="6">
      <t>ゴウリョク</t>
    </rPh>
    <phoneticPr fontId="1"/>
  </si>
  <si>
    <t>土くさび重量（載荷重を含む）</t>
    <rPh sb="0" eb="1">
      <t>ツチ</t>
    </rPh>
    <rPh sb="4" eb="6">
      <t>ジュウリョウ</t>
    </rPh>
    <rPh sb="7" eb="8">
      <t>ノ</t>
    </rPh>
    <rPh sb="8" eb="10">
      <t>カジュウ</t>
    </rPh>
    <rPh sb="11" eb="12">
      <t>フク</t>
    </rPh>
    <phoneticPr fontId="1"/>
  </si>
  <si>
    <t>α</t>
    <phoneticPr fontId="1"/>
  </si>
  <si>
    <t>仮定したすべり面と水平面のなす角</t>
    <rPh sb="0" eb="2">
      <t>カテイ</t>
    </rPh>
    <rPh sb="7" eb="8">
      <t>メン</t>
    </rPh>
    <rPh sb="9" eb="11">
      <t>スイヘイ</t>
    </rPh>
    <rPh sb="11" eb="12">
      <t>メン</t>
    </rPh>
    <rPh sb="15" eb="16">
      <t>カク</t>
    </rPh>
    <phoneticPr fontId="1"/>
  </si>
  <si>
    <t>裏込め土のせん断抵抗角</t>
    <rPh sb="0" eb="2">
      <t>ウラコ</t>
    </rPh>
    <rPh sb="3" eb="4">
      <t>ツチ</t>
    </rPh>
    <rPh sb="7" eb="8">
      <t>ダン</t>
    </rPh>
    <rPh sb="8" eb="11">
      <t>テイコウカク</t>
    </rPh>
    <phoneticPr fontId="1"/>
  </si>
  <si>
    <t>壁背面と鉛直面のなす角</t>
    <rPh sb="0" eb="1">
      <t>カベ</t>
    </rPh>
    <rPh sb="1" eb="3">
      <t>ハイメン</t>
    </rPh>
    <rPh sb="4" eb="7">
      <t>エンチョクメン</t>
    </rPh>
    <rPh sb="10" eb="11">
      <t>カク</t>
    </rPh>
    <phoneticPr fontId="1"/>
  </si>
  <si>
    <t>δ</t>
    <phoneticPr fontId="1"/>
  </si>
  <si>
    <t>壁面摩擦角</t>
    <rPh sb="0" eb="2">
      <t>ヘキメン</t>
    </rPh>
    <rPh sb="2" eb="5">
      <t>マサツカク</t>
    </rPh>
    <phoneticPr fontId="1"/>
  </si>
  <si>
    <t>tan ω</t>
    <phoneticPr fontId="1"/>
  </si>
  <si>
    <t>よって、</t>
    <phoneticPr fontId="1"/>
  </si>
  <si>
    <t>sin(</t>
    <phoneticPr fontId="1"/>
  </si>
  <si>
    <t>cos(</t>
    <phoneticPr fontId="1"/>
  </si>
  <si>
    <t>tan</t>
    <phoneticPr fontId="1"/>
  </si>
  <si>
    <t>）×</t>
    <phoneticPr fontId="1"/>
  </si>
  <si>
    <t>ω</t>
    <phoneticPr fontId="1"/>
  </si>
  <si>
    <t>最大の主導土圧合力</t>
    <rPh sb="0" eb="2">
      <t>サイダイ</t>
    </rPh>
    <rPh sb="3" eb="5">
      <t>シュドウ</t>
    </rPh>
    <rPh sb="5" eb="7">
      <t>ドアツ</t>
    </rPh>
    <rPh sb="7" eb="9">
      <t>ゴウリョク</t>
    </rPh>
    <phoneticPr fontId="1"/>
  </si>
  <si>
    <t>水平成分</t>
  </si>
  <si>
    <r>
      <t>P</t>
    </r>
    <r>
      <rPr>
        <i/>
        <vertAlign val="subscript"/>
        <sz val="11"/>
        <color rgb="FF000000"/>
        <rFont val="Times New Roman"/>
        <family val="1"/>
      </rPr>
      <t>H</t>
    </r>
    <phoneticPr fontId="1"/>
  </si>
  <si>
    <t>× cos(</t>
  </si>
  <si>
    <t>+</t>
  </si>
  <si>
    <t>)</t>
  </si>
  <si>
    <t>kN/m</t>
    <phoneticPr fontId="5"/>
  </si>
  <si>
    <t>鉛直成分</t>
  </si>
  <si>
    <r>
      <t>P</t>
    </r>
    <r>
      <rPr>
        <i/>
        <vertAlign val="subscript"/>
        <sz val="11"/>
        <color rgb="FF000000"/>
        <rFont val="Times New Roman"/>
        <family val="1"/>
      </rPr>
      <t>V</t>
    </r>
    <phoneticPr fontId="1"/>
  </si>
  <si>
    <t>× sin(</t>
  </si>
  <si>
    <t>cos(α+δ)</t>
    <phoneticPr fontId="1"/>
  </si>
  <si>
    <t>sin(α+δ)</t>
    <phoneticPr fontId="1"/>
  </si>
  <si>
    <t>sin(ω－φ)</t>
    <phoneticPr fontId="1"/>
  </si>
  <si>
    <t>cos(ω－φ－α－δ)</t>
    <phoneticPr fontId="1"/>
  </si>
  <si>
    <t>－</t>
    <phoneticPr fontId="1"/>
  </si>
  <si>
    <r>
      <t>γ</t>
    </r>
    <r>
      <rPr>
        <vertAlign val="subscript"/>
        <sz val="11"/>
        <color theme="1"/>
        <rFont val="HGP明朝B"/>
        <family val="1"/>
        <charset val="128"/>
      </rPr>
      <t>s</t>
    </r>
    <phoneticPr fontId="1"/>
  </si>
  <si>
    <r>
      <t>γ</t>
    </r>
    <r>
      <rPr>
        <vertAlign val="subscript"/>
        <sz val="11"/>
        <color theme="1"/>
        <rFont val="HGP明朝B"/>
        <family val="1"/>
        <charset val="128"/>
      </rPr>
      <t>c</t>
    </r>
    <phoneticPr fontId="1"/>
  </si>
  <si>
    <r>
      <t>tan</t>
    </r>
    <r>
      <rPr>
        <vertAlign val="superscript"/>
        <sz val="11"/>
        <color theme="1"/>
        <rFont val="HGP明朝B"/>
        <family val="1"/>
        <charset val="128"/>
      </rPr>
      <t>-1</t>
    </r>
    <phoneticPr fontId="1"/>
  </si>
  <si>
    <r>
      <rPr>
        <sz val="11"/>
        <color theme="1"/>
        <rFont val="游ゴシック"/>
        <family val="2"/>
        <charset val="128"/>
      </rPr>
      <t>ー</t>
    </r>
    <phoneticPr fontId="1"/>
  </si>
  <si>
    <r>
      <rPr>
        <sz val="11"/>
        <color theme="1"/>
        <rFont val="游ゴシック"/>
        <family val="2"/>
        <charset val="128"/>
      </rPr>
      <t>・</t>
    </r>
    <phoneticPr fontId="1"/>
  </si>
  <si>
    <t>作用位置</t>
  </si>
  <si>
    <r>
      <rPr>
        <i/>
        <sz val="11"/>
        <color rgb="FF000000"/>
        <rFont val="Times New Roman"/>
        <family val="1"/>
      </rPr>
      <t>y</t>
    </r>
    <r>
      <rPr>
        <i/>
        <vertAlign val="subscript"/>
        <sz val="11"/>
        <color rgb="FF000000"/>
        <rFont val="Times New Roman"/>
        <family val="1"/>
      </rPr>
      <t>A</t>
    </r>
  </si>
  <si>
    <t>H</t>
  </si>
  <si>
    <t>/</t>
  </si>
  <si>
    <t>m</t>
    <phoneticPr fontId="5"/>
  </si>
  <si>
    <r>
      <t>x</t>
    </r>
    <r>
      <rPr>
        <i/>
        <vertAlign val="subscript"/>
        <sz val="11"/>
        <color rgb="FF000000"/>
        <rFont val="Times New Roman"/>
        <family val="1"/>
      </rPr>
      <t>A</t>
    </r>
    <phoneticPr fontId="1"/>
  </si>
  <si>
    <r>
      <t>y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</si>
  <si>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t>鉛直力</t>
  </si>
  <si>
    <t>水平力</t>
  </si>
  <si>
    <t>作用位置(アーム長)</t>
    <rPh sb="8" eb="9">
      <t>チョウ</t>
    </rPh>
    <phoneticPr fontId="5"/>
  </si>
  <si>
    <t>モーメント</t>
  </si>
  <si>
    <t>V</t>
    <phoneticPr fontId="5"/>
  </si>
  <si>
    <t>x</t>
  </si>
  <si>
    <t>y</t>
  </si>
  <si>
    <t>(kN/m)</t>
    <phoneticPr fontId="5"/>
  </si>
  <si>
    <t>(m)</t>
  </si>
  <si>
    <t>自重</t>
  </si>
  <si>
    <t>土圧</t>
  </si>
  <si>
    <t>合計</t>
  </si>
  <si>
    <r>
      <rPr>
        <sz val="11"/>
        <color theme="1"/>
        <rFont val="游ゴシック"/>
        <family val="2"/>
        <charset val="128"/>
      </rPr>
      <t>ー</t>
    </r>
  </si>
  <si>
    <t>=</t>
  </si>
  <si>
    <t>m</t>
  </si>
  <si>
    <t>d</t>
  </si>
  <si>
    <r>
      <t>ΣM</t>
    </r>
    <r>
      <rPr>
        <i/>
        <vertAlign val="subscript"/>
        <sz val="11"/>
        <color theme="1"/>
        <rFont val="Times New Roman"/>
        <family val="1"/>
      </rPr>
      <t>x</t>
    </r>
    <r>
      <rPr>
        <i/>
        <sz val="11"/>
        <color theme="1"/>
        <rFont val="Times New Roman"/>
        <family val="1"/>
      </rPr>
      <t xml:space="preserve"> </t>
    </r>
    <r>
      <rPr>
        <i/>
        <sz val="11"/>
        <color theme="1"/>
        <rFont val="ＭＳ 明朝"/>
        <family val="1"/>
        <charset val="128"/>
      </rPr>
      <t>－</t>
    </r>
    <r>
      <rPr>
        <i/>
        <sz val="11"/>
        <color theme="1"/>
        <rFont val="Times New Roman"/>
        <family val="1"/>
      </rPr>
      <t xml:space="preserve"> ΣM</t>
    </r>
    <r>
      <rPr>
        <i/>
        <vertAlign val="subscript"/>
        <sz val="11"/>
        <color theme="1"/>
        <rFont val="Times New Roman"/>
        <family val="1"/>
      </rPr>
      <t>y</t>
    </r>
    <phoneticPr fontId="5"/>
  </si>
  <si>
    <t>ー</t>
  </si>
  <si>
    <t>よって、</t>
    <phoneticPr fontId="5"/>
  </si>
  <si>
    <r>
      <rPr>
        <i/>
        <sz val="11"/>
        <color rgb="FF000000"/>
        <rFont val="Times New Roman"/>
        <family val="1"/>
      </rPr>
      <t>F</t>
    </r>
    <r>
      <rPr>
        <i/>
        <vertAlign val="subscript"/>
        <sz val="11"/>
        <color rgb="FF000000"/>
        <rFont val="Times New Roman"/>
        <family val="1"/>
      </rPr>
      <t>s</t>
    </r>
  </si>
  <si>
    <t>・</t>
    <phoneticPr fontId="5"/>
  </si>
  <si>
    <t>μ</t>
  </si>
  <si>
    <t>滑動安全率</t>
  </si>
  <si>
    <t>許容支持力度</t>
    <rPh sb="0" eb="2">
      <t>キョヨウ</t>
    </rPh>
    <rPh sb="2" eb="6">
      <t>シジリョクド</t>
    </rPh>
    <phoneticPr fontId="5"/>
  </si>
  <si>
    <t>主働土圧合力が最大となる角度</t>
    <rPh sb="0" eb="2">
      <t>シュドウ</t>
    </rPh>
    <rPh sb="2" eb="4">
      <t>ドアツ</t>
    </rPh>
    <rPh sb="4" eb="6">
      <t>ゴウリョク</t>
    </rPh>
    <rPh sb="7" eb="9">
      <t>サイダイ</t>
    </rPh>
    <rPh sb="12" eb="14">
      <t>カクド</t>
    </rPh>
    <phoneticPr fontId="1"/>
  </si>
  <si>
    <t>© 2023 ce-note.com</t>
    <phoneticPr fontId="1"/>
  </si>
  <si>
    <t>H24道擁p66</t>
    <rPh sb="3" eb="4">
      <t>ミチ</t>
    </rPh>
    <rPh sb="4" eb="5">
      <t>ヨウ</t>
    </rPh>
    <phoneticPr fontId="5"/>
  </si>
  <si>
    <t>H24道擁p70</t>
    <rPh sb="3" eb="4">
      <t>ミチ</t>
    </rPh>
    <rPh sb="4" eb="5">
      <t>ヨウ</t>
    </rPh>
    <phoneticPr fontId="5"/>
  </si>
  <si>
    <t>H24道擁p68,69</t>
    <rPh sb="3" eb="4">
      <t>ミチ</t>
    </rPh>
    <rPh sb="4" eb="5">
      <t>ヨウ</t>
    </rPh>
    <phoneticPr fontId="5"/>
  </si>
  <si>
    <t>H24道擁p53</t>
    <rPh sb="3" eb="4">
      <t>ミチ</t>
    </rPh>
    <rPh sb="4" eb="5">
      <t>ヨウ</t>
    </rPh>
    <phoneticPr fontId="5"/>
  </si>
  <si>
    <t>1-7. 重要度区分と要求性能</t>
    <rPh sb="11" eb="13">
      <t>ヨウキュウ</t>
    </rPh>
    <rPh sb="13" eb="15">
      <t>セイノウ</t>
    </rPh>
    <phoneticPr fontId="5"/>
  </si>
  <si>
    <t>重要度</t>
    <rPh sb="0" eb="3">
      <t>ジュウヨウド</t>
    </rPh>
    <phoneticPr fontId="5"/>
  </si>
  <si>
    <t>H24道擁p42</t>
    <rPh sb="3" eb="4">
      <t>ミチ</t>
    </rPh>
    <rPh sb="4" eb="5">
      <t>ヨウ</t>
    </rPh>
    <phoneticPr fontId="5"/>
  </si>
  <si>
    <t>常時の作用</t>
  </si>
  <si>
    <t>性能１</t>
  </si>
  <si>
    <t>H24道擁p44</t>
    <rPh sb="3" eb="4">
      <t>ミチ</t>
    </rPh>
    <rPh sb="4" eb="5">
      <t>ヨウ</t>
    </rPh>
    <phoneticPr fontId="5"/>
  </si>
  <si>
    <t>降雨の作用</t>
    <rPh sb="0" eb="2">
      <t>コウウ</t>
    </rPh>
    <phoneticPr fontId="5"/>
  </si>
  <si>
    <t>レベル１地震動の作用</t>
  </si>
  <si>
    <t>性能２</t>
  </si>
  <si>
    <t>レベル２地震動の作用</t>
  </si>
  <si>
    <t>1-8. 設計方法と照査方法</t>
    <rPh sb="5" eb="7">
      <t>セッケイ</t>
    </rPh>
    <rPh sb="7" eb="9">
      <t>ホウホウ</t>
    </rPh>
    <rPh sb="10" eb="12">
      <t>ショウサ</t>
    </rPh>
    <rPh sb="12" eb="14">
      <t>ホウホウ</t>
    </rPh>
    <phoneticPr fontId="5"/>
  </si>
  <si>
    <t>設計方法</t>
    <rPh sb="0" eb="2">
      <t>セッケイ</t>
    </rPh>
    <rPh sb="2" eb="4">
      <t>ホウホウ</t>
    </rPh>
    <phoneticPr fontId="5"/>
  </si>
  <si>
    <t>H24道擁p88</t>
    <rPh sb="3" eb="4">
      <t>ミチ</t>
    </rPh>
    <rPh sb="4" eb="5">
      <t>ヨウ</t>
    </rPh>
    <phoneticPr fontId="5"/>
  </si>
  <si>
    <t>照査方法</t>
    <rPh sb="0" eb="2">
      <t>ショウサ</t>
    </rPh>
    <rPh sb="2" eb="4">
      <t>ホウホウ</t>
    </rPh>
    <phoneticPr fontId="5"/>
  </si>
  <si>
    <t>常時の作用で照査</t>
    <rPh sb="6" eb="8">
      <t>ショウサ</t>
    </rPh>
    <phoneticPr fontId="5"/>
  </si>
  <si>
    <t>要</t>
    <phoneticPr fontId="5"/>
  </si>
  <si>
    <t>降雨の作用で照査</t>
    <rPh sb="0" eb="2">
      <t>コウウ</t>
    </rPh>
    <rPh sb="6" eb="8">
      <t>ショウサ</t>
    </rPh>
    <phoneticPr fontId="5"/>
  </si>
  <si>
    <t>不要</t>
    <phoneticPr fontId="5"/>
  </si>
  <si>
    <t>H24道擁p49,88</t>
    <rPh sb="3" eb="4">
      <t>ミチ</t>
    </rPh>
    <rPh sb="4" eb="5">
      <t>ヨウ</t>
    </rPh>
    <phoneticPr fontId="5"/>
  </si>
  <si>
    <r>
      <t>レベル１地震時の</t>
    </r>
    <r>
      <rPr>
        <i/>
        <sz val="11"/>
        <color theme="1"/>
        <rFont val="Times New Roman"/>
        <family val="1"/>
      </rPr>
      <t>k</t>
    </r>
    <r>
      <rPr>
        <i/>
        <vertAlign val="subscript"/>
        <sz val="11"/>
        <color theme="1"/>
        <rFont val="Times New Roman"/>
        <family val="1"/>
      </rPr>
      <t>h</t>
    </r>
    <r>
      <rPr>
        <sz val="11"/>
        <color theme="1"/>
        <rFont val="游ゴシック"/>
        <family val="2"/>
        <charset val="128"/>
        <scheme val="minor"/>
      </rPr>
      <t>で照査</t>
    </r>
    <rPh sb="6" eb="7">
      <t>ジ</t>
    </rPh>
    <rPh sb="11" eb="13">
      <t>ショウサ</t>
    </rPh>
    <phoneticPr fontId="5"/>
  </si>
  <si>
    <t>H24道擁p89</t>
    <rPh sb="3" eb="4">
      <t>ミチ</t>
    </rPh>
    <rPh sb="4" eb="5">
      <t>ヨウ</t>
    </rPh>
    <phoneticPr fontId="5"/>
  </si>
  <si>
    <r>
      <t>レベル２地震時の</t>
    </r>
    <r>
      <rPr>
        <i/>
        <sz val="11"/>
        <color theme="1"/>
        <rFont val="Times New Roman"/>
        <family val="1"/>
      </rPr>
      <t>k</t>
    </r>
    <r>
      <rPr>
        <i/>
        <vertAlign val="subscript"/>
        <sz val="11"/>
        <color theme="1"/>
        <rFont val="Times New Roman"/>
        <family val="1"/>
      </rPr>
      <t>h</t>
    </r>
    <r>
      <rPr>
        <sz val="11"/>
        <color theme="1"/>
        <rFont val="游ゴシック"/>
        <family val="2"/>
        <charset val="128"/>
        <scheme val="minor"/>
      </rPr>
      <t>で照査</t>
    </r>
    <rPh sb="6" eb="7">
      <t>ジ</t>
    </rPh>
    <rPh sb="11" eb="13">
      <t>ショウサ</t>
    </rPh>
    <phoneticPr fontId="5"/>
  </si>
  <si>
    <t>H24道擁p111</t>
    <rPh sb="3" eb="4">
      <t>ミチ</t>
    </rPh>
    <rPh sb="4" eb="5">
      <t>ヨウ</t>
    </rPh>
    <phoneticPr fontId="5"/>
  </si>
  <si>
    <t>1-9. 照査における荷重の組み合わせ</t>
    <phoneticPr fontId="5"/>
  </si>
  <si>
    <t>H24道擁p51</t>
    <rPh sb="3" eb="4">
      <t>ミチ</t>
    </rPh>
    <rPh sb="4" eb="5">
      <t>ヨウ</t>
    </rPh>
    <phoneticPr fontId="5"/>
  </si>
  <si>
    <t>自重</t>
    <rPh sb="0" eb="2">
      <t>ジジュウ</t>
    </rPh>
    <phoneticPr fontId="5"/>
  </si>
  <si>
    <t>上載荷重</t>
    <rPh sb="0" eb="1">
      <t>ウエ</t>
    </rPh>
    <rPh sb="1" eb="3">
      <t>サイカ</t>
    </rPh>
    <rPh sb="2" eb="4">
      <t>カジュウ</t>
    </rPh>
    <phoneticPr fontId="5"/>
  </si>
  <si>
    <t>主働土圧</t>
    <rPh sb="0" eb="2">
      <t>シュドウ</t>
    </rPh>
    <rPh sb="2" eb="4">
      <t>ドアツ</t>
    </rPh>
    <phoneticPr fontId="5"/>
  </si>
  <si>
    <t>有り</t>
  </si>
  <si>
    <t>/</t>
    <phoneticPr fontId="1"/>
  </si>
  <si>
    <t>作用力の合力位置（底版つま先から合力の作用点までの距離）（H24道擁p117）</t>
    <rPh sb="0" eb="2">
      <t>サヨウ</t>
    </rPh>
    <rPh sb="2" eb="3">
      <t>リョク</t>
    </rPh>
    <rPh sb="25" eb="27">
      <t>キョリ</t>
    </rPh>
    <phoneticPr fontId="5"/>
  </si>
  <si>
    <t>擁壁１ブロックの延長</t>
    <rPh sb="0" eb="2">
      <t>ヨウヘキ</t>
    </rPh>
    <rPh sb="8" eb="10">
      <t>エンチョウ</t>
    </rPh>
    <phoneticPr fontId="1"/>
  </si>
  <si>
    <t>L</t>
    <phoneticPr fontId="1"/>
  </si>
  <si>
    <r>
      <t>b</t>
    </r>
    <r>
      <rPr>
        <i/>
        <vertAlign val="subscript"/>
        <sz val="11"/>
        <color theme="1"/>
        <rFont val="Times New Roman"/>
        <family val="1"/>
      </rPr>
      <t>u</t>
    </r>
    <phoneticPr fontId="1"/>
  </si>
  <si>
    <t>土塊上の上載荷重の作用幅(m)</t>
    <rPh sb="0" eb="1">
      <t>ツチ</t>
    </rPh>
    <rPh sb="1" eb="2">
      <t>カタマリ</t>
    </rPh>
    <rPh sb="2" eb="3">
      <t>ウエ</t>
    </rPh>
    <rPh sb="4" eb="5">
      <t>ウエ</t>
    </rPh>
    <rPh sb="5" eb="6">
      <t>ノ</t>
    </rPh>
    <rPh sb="6" eb="8">
      <t>カジュウ</t>
    </rPh>
    <rPh sb="9" eb="11">
      <t>サヨウ</t>
    </rPh>
    <rPh sb="11" eb="12">
      <t>ハバ</t>
    </rPh>
    <phoneticPr fontId="5"/>
  </si>
  <si>
    <r>
      <rPr>
        <i/>
        <sz val="11"/>
        <color theme="1"/>
        <rFont val="Times New Roman"/>
        <family val="1"/>
      </rPr>
      <t>d  &gt;  B</t>
    </r>
    <r>
      <rPr>
        <sz val="11"/>
        <color theme="1"/>
        <rFont val="游ゴシック"/>
        <family val="2"/>
        <charset val="128"/>
        <scheme val="minor"/>
      </rPr>
      <t>/</t>
    </r>
    <phoneticPr fontId="5"/>
  </si>
  <si>
    <t>d</t>
    <phoneticPr fontId="1"/>
  </si>
  <si>
    <t>=</t>
    <phoneticPr fontId="1"/>
  </si>
  <si>
    <r>
      <t>M</t>
    </r>
    <r>
      <rPr>
        <i/>
        <vertAlign val="subscript"/>
        <sz val="11"/>
        <color theme="1"/>
        <rFont val="Times New Roman"/>
        <family val="1"/>
      </rPr>
      <t>x</t>
    </r>
    <r>
      <rPr>
        <i/>
        <sz val="11"/>
        <color theme="1"/>
        <rFont val="Times New Roman"/>
        <family val="1"/>
      </rPr>
      <t>=V</t>
    </r>
    <r>
      <rPr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x</t>
    </r>
    <phoneticPr fontId="5"/>
  </si>
  <si>
    <r>
      <t>M</t>
    </r>
    <r>
      <rPr>
        <i/>
        <vertAlign val="subscript"/>
        <sz val="11"/>
        <color theme="1"/>
        <rFont val="Times New Roman"/>
        <family val="1"/>
      </rPr>
      <t>y</t>
    </r>
    <r>
      <rPr>
        <i/>
        <sz val="11"/>
        <color theme="1"/>
        <rFont val="Times New Roman"/>
        <family val="1"/>
      </rPr>
      <t>=H</t>
    </r>
    <r>
      <rPr>
        <sz val="11"/>
        <color theme="1"/>
        <rFont val="ＭＳ 明朝"/>
        <family val="1"/>
        <charset val="128"/>
      </rPr>
      <t>・</t>
    </r>
    <r>
      <rPr>
        <i/>
        <sz val="11"/>
        <color theme="1"/>
        <rFont val="Times New Roman"/>
        <family val="1"/>
      </rPr>
      <t>y</t>
    </r>
    <phoneticPr fontId="5"/>
  </si>
  <si>
    <t>ΣV</t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</si>
  <si>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V</t>
    </r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</si>
  <si>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H</t>
    </r>
    <phoneticPr fontId="1"/>
  </si>
  <si>
    <r>
      <t>B</t>
    </r>
    <r>
      <rPr>
        <i/>
        <vertAlign val="subscript"/>
        <sz val="11"/>
        <color rgb="FF000000"/>
        <rFont val="Times New Roman"/>
        <family val="1"/>
      </rPr>
      <t xml:space="preserve"> </t>
    </r>
    <r>
      <rPr>
        <i/>
        <sz val="11"/>
        <color rgb="FF000000"/>
        <rFont val="Times New Roman"/>
        <family val="1"/>
      </rPr>
      <t>/</t>
    </r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</si>
  <si>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</t>
    </r>
    <phoneticPr fontId="1"/>
  </si>
  <si>
    <t>－</t>
    <phoneticPr fontId="1"/>
  </si>
  <si>
    <r>
      <t>κ</t>
    </r>
    <r>
      <rPr>
        <i/>
        <vertAlign val="subscript"/>
        <sz val="11"/>
        <color theme="1"/>
        <rFont val="Times New Roman"/>
        <family val="1"/>
      </rPr>
      <t>d</t>
    </r>
    <phoneticPr fontId="5"/>
  </si>
  <si>
    <t>・</t>
    <phoneticPr fontId="1"/>
  </si>
  <si>
    <t>B</t>
    <phoneticPr fontId="5"/>
  </si>
  <si>
    <t>sin</t>
    <phoneticPr fontId="1"/>
  </si>
  <si>
    <t>)</t>
    <phoneticPr fontId="1"/>
  </si>
  <si>
    <t>)+</t>
    <phoneticPr fontId="1"/>
  </si>
  <si>
    <t>ℓ</t>
    <phoneticPr fontId="1"/>
  </si>
  <si>
    <r>
      <t>κ</t>
    </r>
    <r>
      <rPr>
        <vertAlign val="subscript"/>
        <sz val="11"/>
        <color theme="1"/>
        <rFont val="游ゴシック"/>
        <family val="3"/>
        <charset val="128"/>
        <scheme val="minor"/>
      </rPr>
      <t>ℓ</t>
    </r>
    <phoneticPr fontId="5"/>
  </si>
  <si>
    <t>(1</t>
    <phoneticPr fontId="1"/>
  </si>
  <si>
    <t>/</t>
    <phoneticPr fontId="1"/>
  </si>
  <si>
    <t>3)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</si>
  <si>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V</t>
    </r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</si>
  <si>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H</t>
    </r>
    <phoneticPr fontId="1"/>
  </si>
  <si>
    <t>cos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</si>
  <si>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v</t>
    </r>
    <r>
      <rPr>
        <vertAlign val="subscript"/>
        <sz val="11"/>
        <color theme="1"/>
        <rFont val="Times New Roman"/>
        <family val="1"/>
      </rPr>
      <t>1</t>
    </r>
    <phoneticPr fontId="1"/>
  </si>
  <si>
    <r>
      <t>M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</si>
  <si>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t>(2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</si>
  <si>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v</t>
    </r>
    <r>
      <rPr>
        <vertAlign val="subscript"/>
        <sz val="11"/>
        <color theme="1"/>
        <rFont val="Times New Roman"/>
        <family val="1"/>
      </rPr>
      <t>2</t>
    </r>
    <phoneticPr fontId="1"/>
  </si>
  <si>
    <t>(3</t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</si>
  <si>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</t>
    </r>
    <phoneticPr fontId="1"/>
  </si>
  <si>
    <t>ℓ</t>
    <phoneticPr fontId="5"/>
  </si>
  <si>
    <t>ここに、</t>
    <phoneticPr fontId="1"/>
  </si>
  <si>
    <t>壁面長(m)</t>
    <rPh sb="0" eb="2">
      <t>ヘキメン</t>
    </rPh>
    <rPh sb="2" eb="3">
      <t>ナガ</t>
    </rPh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</si>
  <si>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x</t>
    </r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</si>
  <si>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y</t>
    </r>
    <phoneticPr fontId="1"/>
  </si>
  <si>
    <t>α</t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</si>
  <si>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H</t>
    </r>
    <phoneticPr fontId="5"/>
  </si>
  <si>
    <t>擁壁底面に発生する鉛直地盤反力(kN/m)</t>
    <rPh sb="0" eb="2">
      <t>ヨウヘキ</t>
    </rPh>
    <rPh sb="2" eb="4">
      <t>テイメン</t>
    </rPh>
    <rPh sb="5" eb="7">
      <t>ハッセイ</t>
    </rPh>
    <rPh sb="9" eb="11">
      <t>エンチョク</t>
    </rPh>
    <rPh sb="11" eb="13">
      <t>ジバン</t>
    </rPh>
    <rPh sb="13" eb="15">
      <t>ハンリョク</t>
    </rPh>
    <phoneticPr fontId="1"/>
  </si>
  <si>
    <t>擁壁底面に発生する水平地盤反力(kN/m)</t>
    <rPh sb="0" eb="2">
      <t>ヨウヘキ</t>
    </rPh>
    <rPh sb="2" eb="4">
      <t>テイメン</t>
    </rPh>
    <rPh sb="5" eb="7">
      <t>ハッセイ</t>
    </rPh>
    <rPh sb="9" eb="11">
      <t>スイヘイ</t>
    </rPh>
    <rPh sb="11" eb="13">
      <t>ジバン</t>
    </rPh>
    <rPh sb="13" eb="15">
      <t>ハンリョク</t>
    </rPh>
    <phoneticPr fontId="1"/>
  </si>
  <si>
    <t>≦</t>
    <phoneticPr fontId="1"/>
  </si>
  <si>
    <t>のとき、</t>
    <phoneticPr fontId="1"/>
  </si>
  <si>
    <t>ただし、</t>
    <phoneticPr fontId="1"/>
  </si>
  <si>
    <t>擁壁底面の前方に発生する鉛直地盤反力度(kN/m²)</t>
    <rPh sb="0" eb="2">
      <t>ヨウヘキ</t>
    </rPh>
    <rPh sb="2" eb="4">
      <t>テイメン</t>
    </rPh>
    <rPh sb="5" eb="7">
      <t>ゼンポウ</t>
    </rPh>
    <rPh sb="8" eb="10">
      <t>ハッセイ</t>
    </rPh>
    <rPh sb="12" eb="14">
      <t>エンチョク</t>
    </rPh>
    <rPh sb="14" eb="16">
      <t>ジバン</t>
    </rPh>
    <rPh sb="16" eb="19">
      <t>ハンリョクド</t>
    </rPh>
    <phoneticPr fontId="1"/>
  </si>
  <si>
    <t>擁壁底面の後方に発生する鉛直地盤反力度(kN/m²)</t>
    <rPh sb="0" eb="2">
      <t>ヨウヘキ</t>
    </rPh>
    <rPh sb="2" eb="4">
      <t>テイメン</t>
    </rPh>
    <rPh sb="5" eb="7">
      <t>コウホウ</t>
    </rPh>
    <rPh sb="8" eb="10">
      <t>ハッセイ</t>
    </rPh>
    <rPh sb="12" eb="14">
      <t>エンチョク</t>
    </rPh>
    <rPh sb="14" eb="16">
      <t>ジバン</t>
    </rPh>
    <rPh sb="16" eb="19">
      <t>ハンリョクド</t>
    </rPh>
    <phoneticPr fontId="1"/>
  </si>
  <si>
    <t>擁壁背面に発生する最大壁面地盤反力度(kN/m²)</t>
    <rPh sb="0" eb="2">
      <t>ヨウヘキ</t>
    </rPh>
    <rPh sb="2" eb="4">
      <t>ハイメン</t>
    </rPh>
    <rPh sb="5" eb="7">
      <t>ハッセイ</t>
    </rPh>
    <rPh sb="9" eb="11">
      <t>サイダイ</t>
    </rPh>
    <rPh sb="11" eb="13">
      <t>ヘキメン</t>
    </rPh>
    <rPh sb="13" eb="15">
      <t>ジバン</t>
    </rPh>
    <rPh sb="15" eb="18">
      <t>ハンリョクド</t>
    </rPh>
    <phoneticPr fontId="1"/>
  </si>
  <si>
    <r>
      <t>d</t>
    </r>
    <r>
      <rPr>
        <i/>
        <vertAlign val="subscript"/>
        <sz val="11"/>
        <color theme="1"/>
        <rFont val="Times New Roman"/>
        <family val="1"/>
      </rPr>
      <t>p</t>
    </r>
    <phoneticPr fontId="1"/>
  </si>
  <si>
    <t>擁壁底面のつま先からの鉛直地盤反力の作用位置(m)</t>
    <rPh sb="0" eb="2">
      <t>ヨウヘキ</t>
    </rPh>
    <rPh sb="2" eb="4">
      <t>テイメン</t>
    </rPh>
    <rPh sb="7" eb="8">
      <t>サキ</t>
    </rPh>
    <rPh sb="11" eb="13">
      <t>エンチョク</t>
    </rPh>
    <rPh sb="13" eb="15">
      <t>ジバン</t>
    </rPh>
    <rPh sb="15" eb="17">
      <t>ハンリョク</t>
    </rPh>
    <rPh sb="18" eb="20">
      <t>サヨウ</t>
    </rPh>
    <rPh sb="20" eb="22">
      <t>イチ</t>
    </rPh>
    <phoneticPr fontId="1"/>
  </si>
  <si>
    <t>ℓ₁</t>
    <phoneticPr fontId="5"/>
  </si>
  <si>
    <t>ℓ₂</t>
    <phoneticPr fontId="5"/>
  </si>
  <si>
    <t>擁壁底面から壁面地盤反力度が発生する位置までの区間長(m)</t>
    <rPh sb="0" eb="2">
      <t>ヨウヘキ</t>
    </rPh>
    <rPh sb="2" eb="4">
      <t>テイメン</t>
    </rPh>
    <rPh sb="6" eb="8">
      <t>ヘキメン</t>
    </rPh>
    <rPh sb="8" eb="10">
      <t>ジバン</t>
    </rPh>
    <rPh sb="10" eb="13">
      <t>ハンリョクド</t>
    </rPh>
    <rPh sb="14" eb="16">
      <t>ハッセイ</t>
    </rPh>
    <rPh sb="18" eb="20">
      <t>イチ</t>
    </rPh>
    <rPh sb="23" eb="25">
      <t>クカン</t>
    </rPh>
    <rPh sb="25" eb="26">
      <t>チョウ</t>
    </rPh>
    <phoneticPr fontId="1"/>
  </si>
  <si>
    <t>壁面地盤反力度が発生する区間長(m)</t>
    <rPh sb="0" eb="2">
      <t>ヘキメン</t>
    </rPh>
    <rPh sb="2" eb="4">
      <t>ジバン</t>
    </rPh>
    <rPh sb="4" eb="6">
      <t>ハンリョク</t>
    </rPh>
    <rPh sb="6" eb="7">
      <t>ド</t>
    </rPh>
    <rPh sb="8" eb="10">
      <t>ハッセイ</t>
    </rPh>
    <rPh sb="12" eb="15">
      <t>クカンチョウ</t>
    </rPh>
    <phoneticPr fontId="1"/>
  </si>
  <si>
    <r>
      <t>壁面底面のつま先からの鉛直地盤反力度の作用位置</t>
    </r>
    <r>
      <rPr>
        <i/>
        <sz val="11"/>
        <color theme="1"/>
        <rFont val="Times New Roman"/>
        <family val="1"/>
      </rPr>
      <t>d</t>
    </r>
    <r>
      <rPr>
        <i/>
        <vertAlign val="subscript"/>
        <sz val="11"/>
        <color theme="1"/>
        <rFont val="Times New Roman"/>
        <family val="1"/>
      </rPr>
      <t>p</t>
    </r>
    <r>
      <rPr>
        <sz val="11"/>
        <color theme="1"/>
        <rFont val="游ゴシック"/>
        <family val="2"/>
        <charset val="128"/>
        <scheme val="minor"/>
      </rPr>
      <t>と擁壁底面幅</t>
    </r>
    <r>
      <rPr>
        <i/>
        <sz val="11"/>
        <color theme="1"/>
        <rFont val="Times New Roman"/>
        <family val="1"/>
      </rPr>
      <t>B</t>
    </r>
    <r>
      <rPr>
        <sz val="11"/>
        <color theme="1"/>
        <rFont val="游ゴシック"/>
        <family val="2"/>
        <charset val="128"/>
        <scheme val="minor"/>
      </rPr>
      <t>との比</t>
    </r>
    <rPh sb="0" eb="2">
      <t>ヘキメン</t>
    </rPh>
    <rPh sb="2" eb="4">
      <t>テイメン</t>
    </rPh>
    <rPh sb="7" eb="8">
      <t>サキ</t>
    </rPh>
    <rPh sb="11" eb="13">
      <t>エンチョク</t>
    </rPh>
    <rPh sb="13" eb="15">
      <t>ジバン</t>
    </rPh>
    <rPh sb="15" eb="18">
      <t>ハンリョクド</t>
    </rPh>
    <rPh sb="19" eb="23">
      <t>サヨウイチ</t>
    </rPh>
    <rPh sb="26" eb="28">
      <t>ヨウヘキ</t>
    </rPh>
    <rPh sb="28" eb="30">
      <t>テイメン</t>
    </rPh>
    <rPh sb="30" eb="31">
      <t>ハバ</t>
    </rPh>
    <rPh sb="34" eb="35">
      <t>ヒ</t>
    </rPh>
    <phoneticPr fontId="1"/>
  </si>
  <si>
    <t>背面勾配</t>
    <rPh sb="0" eb="2">
      <t>ハイメン</t>
    </rPh>
    <rPh sb="2" eb="4">
      <t>コウバイ</t>
    </rPh>
    <phoneticPr fontId="1"/>
  </si>
  <si>
    <t>=ℓ₂/ℓ</t>
    <phoneticPr fontId="1"/>
  </si>
  <si>
    <t>1:0.3</t>
    <phoneticPr fontId="1"/>
  </si>
  <si>
    <t>1:0.4</t>
    <phoneticPr fontId="1"/>
  </si>
  <si>
    <t>1:0.5</t>
    <phoneticPr fontId="1"/>
  </si>
  <si>
    <r>
      <t>κ</t>
    </r>
    <r>
      <rPr>
        <i/>
        <vertAlign val="subscript"/>
        <sz val="11"/>
        <color theme="1"/>
        <rFont val="Times New Roman"/>
        <family val="2"/>
        <charset val="161"/>
      </rPr>
      <t>d</t>
    </r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</si>
  <si>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 xml:space="preserve">V </t>
    </r>
    <phoneticPr fontId="5"/>
  </si>
  <si>
    <t>H</t>
    <phoneticPr fontId="1"/>
  </si>
  <si>
    <t>×</t>
    <phoneticPr fontId="1"/>
  </si>
  <si>
    <t>√</t>
    <phoneticPr fontId="1"/>
  </si>
  <si>
    <t>(1+</t>
    <phoneticPr fontId="1"/>
  </si>
  <si>
    <r>
      <rPr>
        <sz val="11"/>
        <color theme="1"/>
        <rFont val="Times New Roman"/>
        <family val="1"/>
      </rPr>
      <t>(1</t>
    </r>
    <r>
      <rPr>
        <i/>
        <sz val="11"/>
        <color theme="1"/>
        <rFont val="Times New Roman"/>
        <family val="1"/>
      </rPr>
      <t>+n</t>
    </r>
    <r>
      <rPr>
        <sz val="11"/>
        <color theme="1"/>
        <rFont val="游ゴシック"/>
        <family val="2"/>
        <charset val="128"/>
        <scheme val="minor"/>
      </rPr>
      <t>₂²)</t>
    </r>
    <phoneticPr fontId="1"/>
  </si>
  <si>
    <t>²)</t>
    <phoneticPr fontId="1"/>
  </si>
  <si>
    <t>なので、</t>
    <phoneticPr fontId="1"/>
  </si>
  <si>
    <t>擁壁背面に発生する壁面地盤反力(kN/m)　</t>
    <rPh sb="0" eb="2">
      <t>ヨウヘキ</t>
    </rPh>
    <rPh sb="2" eb="4">
      <t>ハイメン</t>
    </rPh>
    <rPh sb="5" eb="7">
      <t>ハッセイ</t>
    </rPh>
    <rPh sb="9" eb="11">
      <t>ヘキメン</t>
    </rPh>
    <rPh sb="11" eb="13">
      <t>ジバン</t>
    </rPh>
    <rPh sb="13" eb="15">
      <t>ハンリョク</t>
    </rPh>
    <phoneticPr fontId="1"/>
  </si>
  <si>
    <r>
      <t>作用力の合力位置が擁壁底面幅の1/2より後方にある(</t>
    </r>
    <r>
      <rPr>
        <i/>
        <sz val="11"/>
        <color theme="1"/>
        <rFont val="Times New Roman"/>
        <family val="1"/>
      </rPr>
      <t>d</t>
    </r>
    <r>
      <rPr>
        <sz val="11"/>
        <color theme="1"/>
        <rFont val="游ゴシック"/>
        <family val="2"/>
        <charset val="128"/>
        <scheme val="minor"/>
      </rPr>
      <t>&gt;</t>
    </r>
    <r>
      <rPr>
        <i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/2</t>
    </r>
    <r>
      <rPr>
        <sz val="11"/>
        <color theme="1"/>
        <rFont val="游ゴシック"/>
        <family val="2"/>
        <charset val="128"/>
        <scheme val="minor"/>
      </rPr>
      <t>)ため、簡便法で計算する。（H24道擁p164）</t>
    </r>
    <rPh sb="0" eb="3">
      <t>サヨウリョク</t>
    </rPh>
    <rPh sb="4" eb="6">
      <t>ゴウリョク</t>
    </rPh>
    <rPh sb="6" eb="8">
      <t>イチ</t>
    </rPh>
    <rPh sb="9" eb="11">
      <t>ヨウヘキ</t>
    </rPh>
    <rPh sb="11" eb="13">
      <t>テイメン</t>
    </rPh>
    <rPh sb="13" eb="14">
      <t>ハバ</t>
    </rPh>
    <rPh sb="20" eb="22">
      <t>コウホウ</t>
    </rPh>
    <rPh sb="35" eb="37">
      <t>カンベン</t>
    </rPh>
    <rPh sb="37" eb="38">
      <t>ホウ</t>
    </rPh>
    <rPh sb="39" eb="41">
      <t>ケイサン</t>
    </rPh>
    <rPh sb="48" eb="49">
      <t>ミチ</t>
    </rPh>
    <rPh sb="49" eb="50">
      <t>ヨウ</t>
    </rPh>
    <phoneticPr fontId="1"/>
  </si>
  <si>
    <t>中間層に軟弱な土層あるいは液状化が懸念されるゆるい砂質土層</t>
    <phoneticPr fontId="1"/>
  </si>
  <si>
    <t>壁面地盤反力度が発生する区間長ℓ₂と擁壁壁面長ℓとの比(下表による)</t>
    <rPh sb="0" eb="2">
      <t>ヘキメン</t>
    </rPh>
    <rPh sb="2" eb="4">
      <t>ジバン</t>
    </rPh>
    <rPh sb="4" eb="7">
      <t>ハンリョクド</t>
    </rPh>
    <rPh sb="8" eb="10">
      <t>ハッセイ</t>
    </rPh>
    <rPh sb="12" eb="15">
      <t>クカンチョウ</t>
    </rPh>
    <rPh sb="18" eb="20">
      <t>ヨウヘキ</t>
    </rPh>
    <rPh sb="20" eb="22">
      <t>ヘキメン</t>
    </rPh>
    <rPh sb="22" eb="23">
      <t>ナガ</t>
    </rPh>
    <rPh sb="26" eb="27">
      <t>ヒ</t>
    </rPh>
    <rPh sb="28" eb="29">
      <t>シタ</t>
    </rPh>
    <rPh sb="29" eb="30">
      <t>ヒョウ</t>
    </rPh>
    <phoneticPr fontId="1"/>
  </si>
  <si>
    <t>H24道擁p83,143</t>
    <rPh sb="3" eb="4">
      <t>ミチ</t>
    </rPh>
    <rPh sb="4" eb="5">
      <t>ヨウ</t>
    </rPh>
    <phoneticPr fontId="5"/>
  </si>
  <si>
    <t>+0.15</t>
    <phoneticPr fontId="1"/>
  </si>
  <si>
    <t>H24道擁p83,144</t>
    <rPh sb="3" eb="4">
      <t>ミチ</t>
    </rPh>
    <rPh sb="4" eb="5">
      <t>ヨウ</t>
    </rPh>
    <phoneticPr fontId="5"/>
  </si>
  <si>
    <t>礫質土</t>
    <rPh sb="0" eb="3">
      <t>レキシツドツチ</t>
    </rPh>
    <phoneticPr fontId="1"/>
  </si>
  <si>
    <t>1-4. 支持地盤</t>
    <rPh sb="5" eb="7">
      <t>シジ</t>
    </rPh>
    <rPh sb="7" eb="9">
      <t>ジバン</t>
    </rPh>
    <phoneticPr fontId="1"/>
  </si>
  <si>
    <t>勾配</t>
    <phoneticPr fontId="1"/>
  </si>
  <si>
    <t>b</t>
    <phoneticPr fontId="1"/>
  </si>
  <si>
    <t>天端厚</t>
    <rPh sb="0" eb="1">
      <t>テン</t>
    </rPh>
    <rPh sb="1" eb="2">
      <t>ハシ</t>
    </rPh>
    <rPh sb="2" eb="3">
      <t>アツ</t>
    </rPh>
    <phoneticPr fontId="1"/>
  </si>
  <si>
    <t>直高</t>
    <rPh sb="0" eb="1">
      <t>チョク</t>
    </rPh>
    <rPh sb="1" eb="2">
      <t>タカ</t>
    </rPh>
    <phoneticPr fontId="1"/>
  </si>
  <si>
    <t>H'</t>
    <phoneticPr fontId="1"/>
  </si>
  <si>
    <t>全高</t>
    <rPh sb="0" eb="1">
      <t>ゼン</t>
    </rPh>
    <rPh sb="1" eb="2">
      <t>タカ</t>
    </rPh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</si>
  <si>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</si>
  <si>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</si>
  <si>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t>N/mm²</t>
    <phoneticPr fontId="1"/>
  </si>
  <si>
    <t>n</t>
    <phoneticPr fontId="1"/>
  </si>
  <si>
    <r>
      <t>b</t>
    </r>
    <r>
      <rPr>
        <sz val="11"/>
        <color theme="1"/>
        <rFont val="Times New Roman"/>
        <family val="1"/>
      </rPr>
      <t>₂</t>
    </r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</si>
  <si>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h</t>
    </r>
    <phoneticPr fontId="1"/>
  </si>
  <si>
    <r>
      <t>b</t>
    </r>
    <r>
      <rPr>
        <sz val="11"/>
        <color theme="1"/>
        <rFont val="Times New Roman"/>
        <family val="1"/>
      </rPr>
      <t>₃</t>
    </r>
    <phoneticPr fontId="1"/>
  </si>
  <si>
    <t>=</t>
    <phoneticPr fontId="1"/>
  </si>
  <si>
    <t>m²</t>
    <phoneticPr fontId="5"/>
  </si>
  <si>
    <t>高さ</t>
    <rPh sb="0" eb="1">
      <t>タカ</t>
    </rPh>
    <phoneticPr fontId="1"/>
  </si>
  <si>
    <t>裏込めコンクリート厚</t>
    <rPh sb="0" eb="2">
      <t>ウラゴ</t>
    </rPh>
    <rPh sb="9" eb="10">
      <t>アツ</t>
    </rPh>
    <phoneticPr fontId="5"/>
  </si>
  <si>
    <t>重心位置</t>
    <phoneticPr fontId="1"/>
  </si>
  <si>
    <t>自重</t>
    <rPh sb="0" eb="2">
      <t>ジジュウ</t>
    </rPh>
    <phoneticPr fontId="1"/>
  </si>
  <si>
    <r>
      <t>b</t>
    </r>
    <r>
      <rPr>
        <sz val="11"/>
        <color theme="1"/>
        <rFont val="Times New Roman"/>
        <family val="1"/>
      </rPr>
      <t>₄</t>
    </r>
    <phoneticPr fontId="1"/>
  </si>
  <si>
    <t>/2</t>
    <phoneticPr fontId="1"/>
  </si>
  <si>
    <t>+(</t>
    <phoneticPr fontId="1"/>
  </si>
  <si>
    <t>+</t>
    <phoneticPr fontId="1"/>
  </si>
  <si>
    <r>
      <t xml:space="preserve">b </t>
    </r>
    <r>
      <rPr>
        <sz val="11"/>
        <color theme="1"/>
        <rFont val="Times New Roman"/>
        <family val="1"/>
      </rPr>
      <t>)</t>
    </r>
    <phoneticPr fontId="1"/>
  </si>
  <si>
    <t>b₄</t>
    <phoneticPr fontId="1"/>
  </si>
  <si>
    <t>) /</t>
    <phoneticPr fontId="1"/>
  </si>
  <si>
    <t>=</t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</si>
  <si>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r</t>
    </r>
    <phoneticPr fontId="1"/>
  </si>
  <si>
    <t>(</t>
    <phoneticPr fontId="1"/>
  </si>
  <si>
    <t>+</t>
    <phoneticPr fontId="1"/>
  </si>
  <si>
    <t>) /</t>
    <phoneticPr fontId="1"/>
  </si>
  <si>
    <t>=</t>
    <phoneticPr fontId="1"/>
  </si>
  <si>
    <r>
      <t>b</t>
    </r>
    <r>
      <rPr>
        <sz val="11"/>
        <color theme="1"/>
        <rFont val="Times New Roman"/>
        <family val="1"/>
      </rPr>
      <t>₅</t>
    </r>
    <phoneticPr fontId="1"/>
  </si>
  <si>
    <t>最上段以外</t>
    <rPh sb="0" eb="3">
      <t>サイジョウダン</t>
    </rPh>
    <rPh sb="3" eb="5">
      <t>イガイ</t>
    </rPh>
    <phoneticPr fontId="5"/>
  </si>
  <si>
    <t>段</t>
    <rPh sb="0" eb="1">
      <t>ダン</t>
    </rPh>
    <phoneticPr fontId="1"/>
  </si>
  <si>
    <t>段数（最上段除く）</t>
    <rPh sb="0" eb="2">
      <t>ダンスウ</t>
    </rPh>
    <rPh sb="3" eb="6">
      <t>サイジョウダン</t>
    </rPh>
    <rPh sb="6" eb="7">
      <t>ノゾ</t>
    </rPh>
    <phoneticPr fontId="1"/>
  </si>
  <si>
    <t>/</t>
    <phoneticPr fontId="1"/>
  </si>
  <si>
    <t>各段の自重を集計する。</t>
    <rPh sb="0" eb="1">
      <t>カク</t>
    </rPh>
    <rPh sb="1" eb="2">
      <t>ダン</t>
    </rPh>
    <rPh sb="3" eb="5">
      <t>ジジュウ</t>
    </rPh>
    <rPh sb="6" eb="8">
      <t>シュウケイ</t>
    </rPh>
    <phoneticPr fontId="1"/>
  </si>
  <si>
    <t>最上段</t>
    <rPh sb="0" eb="3">
      <t>サイジョウダン</t>
    </rPh>
    <phoneticPr fontId="1"/>
  </si>
  <si>
    <t>最上段以外</t>
    <rPh sb="0" eb="3">
      <t>サイジョウダン</t>
    </rPh>
    <rPh sb="3" eb="5">
      <t>イガイ</t>
    </rPh>
    <phoneticPr fontId="1"/>
  </si>
  <si>
    <t>基礎部</t>
    <rPh sb="0" eb="2">
      <t>キソ</t>
    </rPh>
    <rPh sb="2" eb="3">
      <t>ブ</t>
    </rPh>
    <phoneticPr fontId="1"/>
  </si>
  <si>
    <t>天端コンクリート</t>
    <rPh sb="0" eb="1">
      <t>テン</t>
    </rPh>
    <rPh sb="1" eb="2">
      <t>ハシ</t>
    </rPh>
    <phoneticPr fontId="1"/>
  </si>
  <si>
    <t>ブロック</t>
    <phoneticPr fontId="1"/>
  </si>
  <si>
    <t>裏込めコンクリート</t>
    <rPh sb="0" eb="2">
      <t>ウラコ</t>
    </rPh>
    <phoneticPr fontId="1"/>
  </si>
  <si>
    <t>合計　Σ</t>
    <rPh sb="0" eb="2">
      <t>ゴウケイ</t>
    </rPh>
    <phoneticPr fontId="1"/>
  </si>
  <si>
    <t>基礎コンクリート</t>
    <rPh sb="0" eb="2">
      <t>キソ</t>
    </rPh>
    <phoneticPr fontId="1"/>
  </si>
  <si>
    <t>鉛直荷重</t>
    <rPh sb="0" eb="2">
      <t>エンチョク</t>
    </rPh>
    <rPh sb="2" eb="4">
      <t>カジュウ</t>
    </rPh>
    <phoneticPr fontId="1"/>
  </si>
  <si>
    <t>V</t>
    <phoneticPr fontId="1"/>
  </si>
  <si>
    <t>重心位置</t>
    <rPh sb="0" eb="2">
      <t>ジュウシン</t>
    </rPh>
    <rPh sb="2" eb="4">
      <t>イチ</t>
    </rPh>
    <phoneticPr fontId="1"/>
  </si>
  <si>
    <t>x</t>
    <phoneticPr fontId="1"/>
  </si>
  <si>
    <t>(m)</t>
    <phoneticPr fontId="5"/>
  </si>
  <si>
    <t>基礎部</t>
    <rPh sb="0" eb="2">
      <t>キソ</t>
    </rPh>
    <rPh sb="2" eb="3">
      <t>ブ</t>
    </rPh>
    <phoneticPr fontId="1"/>
  </si>
  <si>
    <t>基準点</t>
    <rPh sb="0" eb="3">
      <t>キジュンテン</t>
    </rPh>
    <phoneticPr fontId="1"/>
  </si>
  <si>
    <t>基礎幅</t>
    <rPh sb="0" eb="2">
      <t>キソ</t>
    </rPh>
    <rPh sb="2" eb="3">
      <t>ハバ</t>
    </rPh>
    <phoneticPr fontId="1"/>
  </si>
  <si>
    <t>基礎厚</t>
    <rPh sb="0" eb="2">
      <t>キソ</t>
    </rPh>
    <rPh sb="2" eb="3">
      <t>アツ</t>
    </rPh>
    <phoneticPr fontId="1"/>
  </si>
  <si>
    <t>下記に示す設計プロセスは「擁壁上の嵩上げ盛土なし、砂質地盤、地下水なし、擁壁高さ8m以下」が適用範囲です。</t>
    <rPh sb="17" eb="19">
      <t>カサア</t>
    </rPh>
    <rPh sb="20" eb="22">
      <t>モリド</t>
    </rPh>
    <rPh sb="25" eb="27">
      <t>サシツ</t>
    </rPh>
    <rPh sb="27" eb="29">
      <t>ジバン</t>
    </rPh>
    <phoneticPr fontId="1"/>
  </si>
  <si>
    <t>基礎前面天端幅</t>
    <rPh sb="0" eb="2">
      <t>キソ</t>
    </rPh>
    <rPh sb="2" eb="4">
      <t>ゼンメン</t>
    </rPh>
    <rPh sb="4" eb="6">
      <t>テンバ</t>
    </rPh>
    <rPh sb="6" eb="7">
      <t>ハバ</t>
    </rPh>
    <phoneticPr fontId="1"/>
  </si>
  <si>
    <r>
      <t>B</t>
    </r>
    <r>
      <rPr>
        <i/>
        <vertAlign val="subscript"/>
        <sz val="11"/>
        <color theme="1"/>
        <rFont val="Times New Roman"/>
        <family val="1"/>
      </rPr>
      <t>f</t>
    </r>
    <phoneticPr fontId="1"/>
  </si>
  <si>
    <t>勾配</t>
    <rPh sb="0" eb="2">
      <t>コウバイ</t>
    </rPh>
    <phoneticPr fontId="1"/>
  </si>
  <si>
    <t>基礎厚</t>
    <phoneticPr fontId="1"/>
  </si>
  <si>
    <t>基礎後面天端幅</t>
  </si>
  <si>
    <t>基礎後面天端幅</t>
    <rPh sb="0" eb="2">
      <t>キソ</t>
    </rPh>
    <rPh sb="2" eb="4">
      <t>コウメン</t>
    </rPh>
    <rPh sb="4" eb="6">
      <t>テンバ</t>
    </rPh>
    <rPh sb="6" eb="7">
      <t>ハバ</t>
    </rPh>
    <phoneticPr fontId="1"/>
  </si>
  <si>
    <r>
      <t>B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</si>
  <si>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t>ﾓｰﾒﾝﾄ</t>
    <phoneticPr fontId="1"/>
  </si>
  <si>
    <r>
      <t>x</t>
    </r>
    <r>
      <rPr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V</t>
    </r>
    <phoneticPr fontId="1"/>
  </si>
  <si>
    <r>
      <t>(kN/m</t>
    </r>
    <r>
      <rPr>
        <sz val="11"/>
        <color theme="1"/>
        <rFont val="ＭＳ Ｐ明朝"/>
        <family val="1"/>
        <charset val="128"/>
      </rPr>
      <t>・</t>
    </r>
    <r>
      <rPr>
        <sz val="11"/>
        <color theme="1"/>
        <rFont val="Times New Roman"/>
        <family val="1"/>
      </rPr>
      <t>m)</t>
    </r>
    <phoneticPr fontId="5"/>
  </si>
  <si>
    <t>段ごとの重心の計算</t>
    <rPh sb="0" eb="1">
      <t>ダン</t>
    </rPh>
    <rPh sb="4" eb="6">
      <t>ジュウシン</t>
    </rPh>
    <rPh sb="7" eb="9">
      <t>ケイサン</t>
    </rPh>
    <phoneticPr fontId="1"/>
  </si>
  <si>
    <t>最上段</t>
    <rPh sb="0" eb="3">
      <t>サイジョウダン</t>
    </rPh>
    <phoneticPr fontId="1"/>
  </si>
  <si>
    <t>/</t>
    <phoneticPr fontId="1"/>
  </si>
  <si>
    <t>=</t>
    <phoneticPr fontId="1"/>
  </si>
  <si>
    <t>最上段以外</t>
    <rPh sb="0" eb="3">
      <t>サイジョウダン</t>
    </rPh>
    <rPh sb="3" eb="5">
      <t>イガイ</t>
    </rPh>
    <phoneticPr fontId="1"/>
  </si>
  <si>
    <t>基礎部</t>
    <rPh sb="0" eb="3">
      <t>キソブ</t>
    </rPh>
    <phoneticPr fontId="1"/>
  </si>
  <si>
    <t>重心位置</t>
    <rPh sb="0" eb="2">
      <t>ジュウシン</t>
    </rPh>
    <rPh sb="2" eb="4">
      <t>イチ</t>
    </rPh>
    <phoneticPr fontId="1"/>
  </si>
  <si>
    <t>作用位置</t>
    <rPh sb="0" eb="2">
      <t>サヨウ</t>
    </rPh>
    <rPh sb="2" eb="4">
      <t>イチ</t>
    </rPh>
    <phoneticPr fontId="1"/>
  </si>
  <si>
    <r>
      <t>x</t>
    </r>
    <r>
      <rPr>
        <vertAlign val="subscript"/>
        <sz val="11"/>
        <color theme="1"/>
        <rFont val="Times New Roman"/>
        <family val="1"/>
      </rPr>
      <t>S</t>
    </r>
    <phoneticPr fontId="1"/>
  </si>
  <si>
    <t>基礎部</t>
    <rPh sb="0" eb="2">
      <t>キソ</t>
    </rPh>
    <rPh sb="2" eb="3">
      <t>ブ</t>
    </rPh>
    <phoneticPr fontId="1"/>
  </si>
  <si>
    <t>最上段以外</t>
    <rPh sb="0" eb="3">
      <t>サイジョウダン</t>
    </rPh>
    <rPh sb="3" eb="5">
      <t>イガイ</t>
    </rPh>
    <phoneticPr fontId="1"/>
  </si>
  <si>
    <t>最上段</t>
    <rPh sb="0" eb="3">
      <t>サイジョウダン</t>
    </rPh>
    <phoneticPr fontId="1"/>
  </si>
  <si>
    <t>基礎部</t>
    <rPh sb="0" eb="3">
      <t>キソブ</t>
    </rPh>
    <phoneticPr fontId="1"/>
  </si>
  <si>
    <t>&gt;</t>
    <phoneticPr fontId="1"/>
  </si>
  <si>
    <r>
      <t>H</t>
    </r>
    <r>
      <rPr>
        <sz val="11"/>
        <color theme="1"/>
        <rFont val="Times New Roman"/>
        <family val="1"/>
      </rPr>
      <t>²</t>
    </r>
    <phoneticPr fontId="1"/>
  </si>
  <si>
    <t>²</t>
    <phoneticPr fontId="1"/>
  </si>
  <si>
    <r>
      <t>p</t>
    </r>
    <r>
      <rPr>
        <i/>
        <vertAlign val="subscript"/>
        <sz val="11"/>
        <color theme="1"/>
        <rFont val="Times New Roman"/>
        <family val="1"/>
      </rPr>
      <t>ai</t>
    </r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</si>
  <si>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i</t>
    </r>
    <phoneticPr fontId="1"/>
  </si>
  <si>
    <r>
      <t>K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</si>
  <si>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r>
      <t>P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</si>
  <si>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r>
      <t>最大の主導土圧合力</t>
    </r>
    <r>
      <rPr>
        <i/>
        <sz val="11"/>
        <color theme="1"/>
        <rFont val="Times New Roman"/>
        <family val="1"/>
      </rPr>
      <t>P</t>
    </r>
    <r>
      <rPr>
        <i/>
        <vertAlign val="subscript"/>
        <sz val="11"/>
        <color theme="1"/>
        <rFont val="Times New Roman"/>
        <family val="1"/>
      </rPr>
      <t>A</t>
    </r>
    <r>
      <rPr>
        <sz val="11"/>
        <color theme="1"/>
        <rFont val="游ゴシック"/>
        <family val="2"/>
        <charset val="128"/>
        <scheme val="minor"/>
      </rPr>
      <t>より、主働土圧係数</t>
    </r>
    <r>
      <rPr>
        <i/>
        <sz val="11"/>
        <color theme="1"/>
        <rFont val="Times New Roman"/>
        <family val="1"/>
      </rPr>
      <t>K</t>
    </r>
    <r>
      <rPr>
        <i/>
        <vertAlign val="subscript"/>
        <sz val="11"/>
        <color theme="1"/>
        <rFont val="Times New Roman"/>
        <family val="1"/>
      </rPr>
      <t>A</t>
    </r>
    <r>
      <rPr>
        <sz val="11"/>
        <color theme="1"/>
        <rFont val="游ゴシック"/>
        <family val="2"/>
        <charset val="128"/>
        <scheme val="minor"/>
      </rPr>
      <t>を逆算する。（H24道擁p101）</t>
    </r>
    <rPh sb="0" eb="2">
      <t>サイダイ</t>
    </rPh>
    <rPh sb="3" eb="5">
      <t>シュドウ</t>
    </rPh>
    <rPh sb="5" eb="7">
      <t>ドアツ</t>
    </rPh>
    <rPh sb="7" eb="9">
      <t>ゴウリョク</t>
    </rPh>
    <rPh sb="14" eb="16">
      <t>シュドウ</t>
    </rPh>
    <rPh sb="16" eb="18">
      <t>ドアツ</t>
    </rPh>
    <rPh sb="18" eb="20">
      <t>ケイスウ</t>
    </rPh>
    <rPh sb="23" eb="25">
      <t>ギャクサン</t>
    </rPh>
    <phoneticPr fontId="1"/>
  </si>
  <si>
    <r>
      <t>P</t>
    </r>
    <r>
      <rPr>
        <i/>
        <vertAlign val="subscript"/>
        <sz val="11"/>
        <color theme="1"/>
        <rFont val="Times New Roman"/>
        <family val="1"/>
      </rPr>
      <t>ai</t>
    </r>
    <phoneticPr fontId="1"/>
  </si>
  <si>
    <r>
      <t xml:space="preserve">任意位置に作用する土圧強度 </t>
    </r>
    <r>
      <rPr>
        <i/>
        <sz val="11"/>
        <color theme="1"/>
        <rFont val="Times New Roman"/>
        <family val="1"/>
      </rPr>
      <t>p</t>
    </r>
    <r>
      <rPr>
        <i/>
        <vertAlign val="subscript"/>
        <sz val="11"/>
        <color theme="1"/>
        <rFont val="Times New Roman"/>
        <family val="1"/>
      </rPr>
      <t>ai</t>
    </r>
    <r>
      <rPr>
        <sz val="11"/>
        <color theme="1"/>
        <rFont val="游ゴシック"/>
        <family val="2"/>
        <charset val="128"/>
        <scheme val="minor"/>
      </rPr>
      <t xml:space="preserve"> は、土圧強度の定義より下式で算出できる。</t>
    </r>
    <rPh sb="0" eb="2">
      <t>ニンイ</t>
    </rPh>
    <rPh sb="2" eb="4">
      <t>イチ</t>
    </rPh>
    <rPh sb="5" eb="7">
      <t>サヨウ</t>
    </rPh>
    <rPh sb="9" eb="11">
      <t>ドアツ</t>
    </rPh>
    <rPh sb="11" eb="13">
      <t>キョウド</t>
    </rPh>
    <rPh sb="20" eb="22">
      <t>ドアツ</t>
    </rPh>
    <rPh sb="22" eb="24">
      <t>キョウド</t>
    </rPh>
    <rPh sb="25" eb="27">
      <t>テイギ</t>
    </rPh>
    <rPh sb="29" eb="30">
      <t>シタ</t>
    </rPh>
    <rPh sb="30" eb="31">
      <t>シキ</t>
    </rPh>
    <rPh sb="32" eb="34">
      <t>サンシュツ</t>
    </rPh>
    <phoneticPr fontId="1"/>
  </si>
  <si>
    <t>高さ</t>
    <rPh sb="0" eb="1">
      <t>タカ</t>
    </rPh>
    <phoneticPr fontId="1"/>
  </si>
  <si>
    <t>土圧強度</t>
    <rPh sb="0" eb="2">
      <t>ドアツ</t>
    </rPh>
    <rPh sb="2" eb="4">
      <t>キョウド</t>
    </rPh>
    <phoneticPr fontId="1"/>
  </si>
  <si>
    <t>(kN/m²)</t>
    <phoneticPr fontId="5"/>
  </si>
  <si>
    <t>土圧合力</t>
    <rPh sb="0" eb="2">
      <t>ドアツ</t>
    </rPh>
    <rPh sb="2" eb="4">
      <t>ゴウリョク</t>
    </rPh>
    <phoneticPr fontId="1"/>
  </si>
  <si>
    <t>×</t>
    <phoneticPr fontId="1"/>
  </si>
  <si>
    <r>
      <t xml:space="preserve">任意の段の土圧合力 </t>
    </r>
    <r>
      <rPr>
        <i/>
        <sz val="11"/>
        <color theme="1"/>
        <rFont val="Times New Roman"/>
        <family val="1"/>
      </rPr>
      <t>P</t>
    </r>
    <r>
      <rPr>
        <i/>
        <vertAlign val="subscript"/>
        <sz val="11"/>
        <color theme="1"/>
        <rFont val="Times New Roman"/>
        <family val="1"/>
      </rPr>
      <t>ai</t>
    </r>
    <r>
      <rPr>
        <sz val="11"/>
        <color theme="1"/>
        <rFont val="游ゴシック"/>
        <family val="3"/>
        <charset val="128"/>
      </rPr>
      <t>は、下式で算出できる。</t>
    </r>
    <rPh sb="0" eb="2">
      <t>ニンイ</t>
    </rPh>
    <rPh sb="3" eb="4">
      <t>ダン</t>
    </rPh>
    <rPh sb="5" eb="7">
      <t>ドアツ</t>
    </rPh>
    <rPh sb="7" eb="9">
      <t>ゴウリョク</t>
    </rPh>
    <rPh sb="15" eb="16">
      <t>シタ</t>
    </rPh>
    <rPh sb="16" eb="17">
      <t>シキ</t>
    </rPh>
    <rPh sb="18" eb="20">
      <t>サンシュツ</t>
    </rPh>
    <phoneticPr fontId="1"/>
  </si>
  <si>
    <t>(kN)</t>
    <phoneticPr fontId="5"/>
  </si>
  <si>
    <r>
      <t>h</t>
    </r>
    <r>
      <rPr>
        <i/>
        <vertAlign val="subscript"/>
        <sz val="11"/>
        <color theme="1"/>
        <rFont val="Times New Roman"/>
        <family val="1"/>
      </rPr>
      <t>i</t>
    </r>
    <phoneticPr fontId="1"/>
  </si>
  <si>
    <t>作用位置</t>
    <rPh sb="0" eb="4">
      <t>サヨウイチ</t>
    </rPh>
    <phoneticPr fontId="1"/>
  </si>
  <si>
    <r>
      <t>y</t>
    </r>
    <r>
      <rPr>
        <i/>
        <vertAlign val="subscript"/>
        <sz val="11"/>
        <color rgb="FF000000"/>
        <rFont val="Times New Roman"/>
        <family val="1"/>
      </rPr>
      <t>ai</t>
    </r>
    <phoneticPr fontId="1"/>
  </si>
  <si>
    <r>
      <t>x</t>
    </r>
    <r>
      <rPr>
        <i/>
        <vertAlign val="subscript"/>
        <sz val="11"/>
        <color rgb="FF000000"/>
        <rFont val="Times New Roman"/>
        <family val="1"/>
      </rPr>
      <t>ai</t>
    </r>
    <phoneticPr fontId="1"/>
  </si>
  <si>
    <t>鉛直力</t>
    <rPh sb="0" eb="2">
      <t>エンチョク</t>
    </rPh>
    <rPh sb="2" eb="3">
      <t>リョク</t>
    </rPh>
    <phoneticPr fontId="1"/>
  </si>
  <si>
    <t>水平力</t>
    <rPh sb="0" eb="3">
      <t>スイヘイリョク</t>
    </rPh>
    <phoneticPr fontId="1"/>
  </si>
  <si>
    <r>
      <t>y</t>
    </r>
    <r>
      <rPr>
        <i/>
        <vertAlign val="subscript"/>
        <sz val="11"/>
        <color rgb="FF000000"/>
        <rFont val="Times New Roman"/>
        <family val="1"/>
      </rPr>
      <t>ai</t>
    </r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</si>
  <si>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</t>
    </r>
    <r>
      <rPr>
        <i/>
        <sz val="11"/>
        <color theme="1"/>
        <rFont val="Times New Roman"/>
        <family val="1"/>
      </rPr>
      <t>'</t>
    </r>
    <phoneticPr fontId="1"/>
  </si>
  <si>
    <t>－</t>
    <phoneticPr fontId="1"/>
  </si>
  <si>
    <t>+</t>
    <phoneticPr fontId="1"/>
  </si>
  <si>
    <t>(</t>
    <phoneticPr fontId="1"/>
  </si>
  <si>
    <t>)</t>
    <phoneticPr fontId="1"/>
  </si>
  <si>
    <t>=</t>
    <phoneticPr fontId="1"/>
  </si>
  <si>
    <t>²</t>
    <phoneticPr fontId="1"/>
  </si>
  <si>
    <t>cos</t>
    <phoneticPr fontId="1"/>
  </si>
  <si>
    <r>
      <t>h</t>
    </r>
    <r>
      <rPr>
        <i/>
        <vertAlign val="subscript"/>
        <sz val="11"/>
        <color theme="1"/>
        <rFont val="Times New Roman"/>
        <family val="1"/>
      </rPr>
      <t>i</t>
    </r>
    <phoneticPr fontId="1"/>
  </si>
  <si>
    <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'</t>
    </r>
    <phoneticPr fontId="1"/>
  </si>
  <si>
    <r>
      <t>z</t>
    </r>
    <r>
      <rPr>
        <i/>
        <vertAlign val="subscript"/>
        <sz val="11"/>
        <color theme="1"/>
        <rFont val="Times New Roman"/>
        <family val="1"/>
      </rPr>
      <t>i</t>
    </r>
    <phoneticPr fontId="1"/>
  </si>
  <si>
    <r>
      <t>z</t>
    </r>
    <r>
      <rPr>
        <i/>
        <vertAlign val="subscript"/>
        <sz val="11"/>
        <color rgb="FF000000"/>
        <rFont val="Times New Roman"/>
        <family val="1"/>
      </rPr>
      <t>i</t>
    </r>
    <r>
      <rPr>
        <i/>
        <sz val="11"/>
        <color rgb="FF000000"/>
        <rFont val="Times New Roman"/>
        <family val="1"/>
      </rPr>
      <t>'</t>
    </r>
    <phoneticPr fontId="1"/>
  </si>
  <si>
    <r>
      <t>Q</t>
    </r>
    <r>
      <rPr>
        <i/>
        <vertAlign val="subscript"/>
        <sz val="11"/>
        <color theme="1"/>
        <rFont val="Times New Roman"/>
        <family val="1"/>
      </rPr>
      <t>tzi</t>
    </r>
    <phoneticPr fontId="1"/>
  </si>
  <si>
    <r>
      <t>Q</t>
    </r>
    <r>
      <rPr>
        <i/>
        <vertAlign val="subscript"/>
        <sz val="11"/>
        <color rgb="FF000000"/>
        <rFont val="Times New Roman"/>
        <family val="1"/>
      </rPr>
      <t>tzi</t>
    </r>
    <phoneticPr fontId="1"/>
  </si>
  <si>
    <r>
      <t>Q</t>
    </r>
    <r>
      <rPr>
        <i/>
        <vertAlign val="subscript"/>
        <sz val="11"/>
        <color rgb="FF000000"/>
        <rFont val="Times New Roman"/>
        <family val="1"/>
      </rPr>
      <t>Vi</t>
    </r>
    <phoneticPr fontId="1"/>
  </si>
  <si>
    <r>
      <t>Q</t>
    </r>
    <r>
      <rPr>
        <i/>
        <vertAlign val="subscript"/>
        <sz val="11"/>
        <color rgb="FF000000"/>
        <rFont val="Times New Roman"/>
        <family val="1"/>
      </rPr>
      <t>Hi</t>
    </r>
    <phoneticPr fontId="1"/>
  </si>
  <si>
    <r>
      <t>x</t>
    </r>
    <r>
      <rPr>
        <i/>
        <vertAlign val="subscript"/>
        <sz val="11"/>
        <color rgb="FF000000"/>
        <rFont val="Times New Roman"/>
        <family val="1"/>
      </rPr>
      <t>zi</t>
    </r>
    <phoneticPr fontId="1"/>
  </si>
  <si>
    <r>
      <t>y</t>
    </r>
    <r>
      <rPr>
        <i/>
        <vertAlign val="subscript"/>
        <sz val="11"/>
        <color rgb="FF000000"/>
        <rFont val="Times New Roman"/>
        <family val="1"/>
      </rPr>
      <t>zi</t>
    </r>
    <phoneticPr fontId="1"/>
  </si>
  <si>
    <t>水平成分</t>
    <rPh sb="0" eb="2">
      <t>スイヘイ</t>
    </rPh>
    <rPh sb="2" eb="4">
      <t>セイブン</t>
    </rPh>
    <phoneticPr fontId="1"/>
  </si>
  <si>
    <t>× cos</t>
    <phoneticPr fontId="1"/>
  </si>
  <si>
    <t>sin</t>
    <phoneticPr fontId="1"/>
  </si>
  <si>
    <t>× sin</t>
    <phoneticPr fontId="1"/>
  </si>
  <si>
    <t>or</t>
    <phoneticPr fontId="1"/>
  </si>
  <si>
    <r>
      <t>②　</t>
    </r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sz val="11"/>
        <color theme="1"/>
        <rFont val="游ゴシック"/>
        <family val="2"/>
        <charset val="128"/>
        <scheme val="minor"/>
      </rPr>
      <t>'=ℓ₂の場合</t>
    </r>
    <rPh sb="9" eb="11">
      <t>バアイ</t>
    </rPh>
    <phoneticPr fontId="1"/>
  </si>
  <si>
    <r>
      <t>①　</t>
    </r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'</t>
    </r>
    <r>
      <rPr>
        <sz val="11"/>
        <color theme="1"/>
        <rFont val="游ゴシック"/>
        <family val="2"/>
        <charset val="128"/>
        <scheme val="minor"/>
      </rPr>
      <t>&lt;ℓ₂の場合</t>
    </r>
    <rPh sb="9" eb="11">
      <t>バアイ</t>
    </rPh>
    <phoneticPr fontId="1"/>
  </si>
  <si>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'</t>
    </r>
    <r>
      <rPr>
        <sz val="11"/>
        <color theme="1"/>
        <rFont val="游ゴシック"/>
        <family val="2"/>
        <charset val="128"/>
        <scheme val="minor"/>
      </rPr>
      <t>&lt;ℓ₂</t>
    </r>
    <phoneticPr fontId="1"/>
  </si>
  <si>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sz val="11"/>
        <color theme="1"/>
        <rFont val="游ゴシック"/>
        <family val="2"/>
        <charset val="128"/>
        <scheme val="minor"/>
      </rPr>
      <t>'=ℓ₂</t>
    </r>
    <phoneticPr fontId="1"/>
  </si>
  <si>
    <t>自重</t>
    <rPh sb="0" eb="2">
      <t>ジジュウ</t>
    </rPh>
    <phoneticPr fontId="1"/>
  </si>
  <si>
    <t>土圧</t>
    <rPh sb="0" eb="2">
      <t>ドアツ</t>
    </rPh>
    <phoneticPr fontId="1"/>
  </si>
  <si>
    <t>地盤反力</t>
    <rPh sb="0" eb="2">
      <t>ジバン</t>
    </rPh>
    <rPh sb="2" eb="4">
      <t>ハンリョク</t>
    </rPh>
    <phoneticPr fontId="1"/>
  </si>
  <si>
    <t>合計　Σ</t>
    <phoneticPr fontId="1"/>
  </si>
  <si>
    <t>作用位置</t>
    <rPh sb="0" eb="4">
      <t>サヨウイチ</t>
    </rPh>
    <phoneticPr fontId="1"/>
  </si>
  <si>
    <t>底面幅</t>
    <rPh sb="0" eb="2">
      <t>テイメン</t>
    </rPh>
    <rPh sb="2" eb="3">
      <t>ハバ</t>
    </rPh>
    <phoneticPr fontId="1"/>
  </si>
  <si>
    <t>0点のモーメント</t>
    <rPh sb="1" eb="2">
      <t>テン</t>
    </rPh>
    <phoneticPr fontId="1"/>
  </si>
  <si>
    <t>偏心距離</t>
    <rPh sb="0" eb="4">
      <t>ヘンシンキョリ</t>
    </rPh>
    <phoneticPr fontId="1"/>
  </si>
  <si>
    <t>e</t>
    <phoneticPr fontId="1"/>
  </si>
  <si>
    <t>水平力</t>
    <rPh sb="0" eb="2">
      <t>スイヘイ</t>
    </rPh>
    <rPh sb="2" eb="3">
      <t>リョク</t>
    </rPh>
    <phoneticPr fontId="1"/>
  </si>
  <si>
    <t>e</t>
    <phoneticPr fontId="1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</si>
  <si>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x</t>
    </r>
    <r>
      <rPr>
        <i/>
        <sz val="11"/>
        <color theme="1"/>
        <rFont val="Times New Roman"/>
        <family val="1"/>
      </rPr>
      <t xml:space="preserve"> </t>
    </r>
    <r>
      <rPr>
        <i/>
        <sz val="11"/>
        <color theme="1"/>
        <rFont val="ＭＳ 明朝"/>
        <family val="1"/>
        <charset val="128"/>
      </rPr>
      <t>－</t>
    </r>
    <r>
      <rPr>
        <i/>
        <sz val="11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M</t>
    </r>
    <r>
      <rPr>
        <i/>
        <vertAlign val="subscript"/>
        <sz val="11"/>
        <color theme="1"/>
        <rFont val="Times New Roman"/>
        <family val="1"/>
      </rPr>
      <t>y</t>
    </r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</si>
  <si>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V</t>
    </r>
    <phoneticPr fontId="1"/>
  </si>
  <si>
    <t>N</t>
    <phoneticPr fontId="1"/>
  </si>
  <si>
    <t>大型ブロック積み擁壁の設計計算例 ーもたれ式擁壁準拠の場合ー</t>
    <rPh sb="0" eb="2">
      <t>オオガタ</t>
    </rPh>
    <rPh sb="6" eb="7">
      <t>ヅ</t>
    </rPh>
    <rPh sb="8" eb="10">
      <t>ヨウヘキ</t>
    </rPh>
    <rPh sb="11" eb="13">
      <t>セッケイ</t>
    </rPh>
    <rPh sb="13" eb="16">
      <t>ケイサンレイ</t>
    </rPh>
    <rPh sb="21" eb="22">
      <t>シキ</t>
    </rPh>
    <rPh sb="22" eb="24">
      <t>ヨウヘキ</t>
    </rPh>
    <rPh sb="24" eb="26">
      <t>ジュンキョ</t>
    </rPh>
    <phoneticPr fontId="1"/>
  </si>
  <si>
    <r>
      <rPr>
        <sz val="11"/>
        <color theme="1"/>
        <rFont val="Calibri"/>
        <family val="1"/>
        <charset val="161"/>
      </rPr>
      <t>σ</t>
    </r>
    <r>
      <rPr>
        <vertAlign val="subscript"/>
        <sz val="11"/>
        <color theme="1"/>
        <rFont val="Times New Roman"/>
        <family val="1"/>
      </rPr>
      <t>c</t>
    </r>
    <phoneticPr fontId="1"/>
  </si>
  <si>
    <t>±</t>
    <phoneticPr fontId="1"/>
  </si>
  <si>
    <r>
      <t>N</t>
    </r>
    <r>
      <rPr>
        <sz val="11"/>
        <color theme="1"/>
        <rFont val="ＭＳ Ｐ明朝"/>
        <family val="1"/>
        <charset val="128"/>
      </rPr>
      <t>・</t>
    </r>
    <r>
      <rPr>
        <i/>
        <sz val="11"/>
        <color theme="1"/>
        <rFont val="Times New Roman"/>
        <family val="1"/>
      </rPr>
      <t>e</t>
    </r>
    <phoneticPr fontId="1"/>
  </si>
  <si>
    <t>b</t>
    <phoneticPr fontId="5"/>
  </si>
  <si>
    <t>m²</t>
    <phoneticPr fontId="1"/>
  </si>
  <si>
    <r>
      <t>b</t>
    </r>
    <r>
      <rPr>
        <sz val="11"/>
        <color theme="1"/>
        <rFont val="Times New Roman"/>
        <family val="1"/>
      </rPr>
      <t>²</t>
    </r>
    <phoneticPr fontId="1"/>
  </si>
  <si>
    <t>軸方向力</t>
    <rPh sb="0" eb="4">
      <t>ジクホウコウチカラ</t>
    </rPh>
    <phoneticPr fontId="1"/>
  </si>
  <si>
    <t>N</t>
    <phoneticPr fontId="5"/>
  </si>
  <si>
    <t>e</t>
    <phoneticPr fontId="5"/>
  </si>
  <si>
    <t>コンクリート断面の縁応力度</t>
    <rPh sb="6" eb="8">
      <t>ダンメン</t>
    </rPh>
    <rPh sb="9" eb="10">
      <t>フチ</t>
    </rPh>
    <rPh sb="10" eb="13">
      <t>オウリョクド</t>
    </rPh>
    <phoneticPr fontId="1"/>
  </si>
  <si>
    <t>コンクリート断面の図心軸に関する断面係数</t>
    <rPh sb="6" eb="8">
      <t>ダンメン</t>
    </rPh>
    <rPh sb="9" eb="11">
      <t>ズシン</t>
    </rPh>
    <rPh sb="11" eb="12">
      <t>ジク</t>
    </rPh>
    <rPh sb="13" eb="14">
      <t>カン</t>
    </rPh>
    <rPh sb="16" eb="18">
      <t>ダンメン</t>
    </rPh>
    <rPh sb="18" eb="20">
      <t>ケイスウ</t>
    </rPh>
    <phoneticPr fontId="1"/>
  </si>
  <si>
    <t>縁応力度</t>
    <rPh sb="0" eb="1">
      <t>フチ</t>
    </rPh>
    <rPh sb="1" eb="4">
      <t>オウリョクド</t>
    </rPh>
    <phoneticPr fontId="1"/>
  </si>
  <si>
    <r>
      <rPr>
        <sz val="11"/>
        <color theme="1"/>
        <rFont val="Calibri"/>
        <family val="1"/>
        <charset val="161"/>
      </rPr>
      <t>σ</t>
    </r>
    <r>
      <rPr>
        <vertAlign val="subscript"/>
        <sz val="11"/>
        <color theme="1"/>
        <rFont val="Times New Roman"/>
        <family val="1"/>
      </rPr>
      <t>c1</t>
    </r>
    <phoneticPr fontId="1"/>
  </si>
  <si>
    <r>
      <rPr>
        <sz val="11"/>
        <color theme="1"/>
        <rFont val="Calibri"/>
        <family val="1"/>
        <charset val="161"/>
      </rPr>
      <t>σ</t>
    </r>
    <r>
      <rPr>
        <vertAlign val="subscript"/>
        <sz val="11"/>
        <color theme="1"/>
        <rFont val="HGP明朝B"/>
        <family val="1"/>
      </rPr>
      <t>c2</t>
    </r>
    <phoneticPr fontId="1"/>
  </si>
  <si>
    <t>(N/mm²)</t>
    <phoneticPr fontId="5"/>
  </si>
  <si>
    <t>判定</t>
    <rPh sb="0" eb="2">
      <t>ハンテイ</t>
    </rPh>
    <phoneticPr fontId="1"/>
  </si>
  <si>
    <t>圧縮</t>
    <rPh sb="0" eb="2">
      <t>アッシュク</t>
    </rPh>
    <phoneticPr fontId="1"/>
  </si>
  <si>
    <t>H24道擁p81</t>
    <rPh sb="3" eb="4">
      <t>ミチ</t>
    </rPh>
    <rPh sb="4" eb="5">
      <t>ヨウ</t>
    </rPh>
    <phoneticPr fontId="5"/>
  </si>
  <si>
    <t>≦</t>
    <phoneticPr fontId="1"/>
  </si>
  <si>
    <t>≧</t>
    <phoneticPr fontId="1"/>
  </si>
  <si>
    <t>曲げ引張</t>
    <rPh sb="0" eb="1">
      <t>マ</t>
    </rPh>
    <rPh sb="2" eb="4">
      <t>ヒッパリ</t>
    </rPh>
    <phoneticPr fontId="1"/>
  </si>
  <si>
    <r>
      <t>τ</t>
    </r>
    <r>
      <rPr>
        <i/>
        <vertAlign val="subscript"/>
        <sz val="11"/>
        <color theme="1"/>
        <rFont val="Times New Roman"/>
        <family val="1"/>
      </rPr>
      <t>m</t>
    </r>
    <phoneticPr fontId="1"/>
  </si>
  <si>
    <t>bd</t>
    <phoneticPr fontId="1"/>
  </si>
  <si>
    <t>部材断面に生じるコンクリートの平均せん断応力度</t>
    <rPh sb="0" eb="4">
      <t>ブザイダンメン</t>
    </rPh>
    <rPh sb="5" eb="6">
      <t>ショウ</t>
    </rPh>
    <rPh sb="15" eb="17">
      <t>ヘイキン</t>
    </rPh>
    <rPh sb="19" eb="20">
      <t>ダン</t>
    </rPh>
    <rPh sb="20" eb="23">
      <t>オウリョクド</t>
    </rPh>
    <phoneticPr fontId="1"/>
  </si>
  <si>
    <t>部材のせん断力</t>
    <rPh sb="0" eb="2">
      <t>ブザイ</t>
    </rPh>
    <rPh sb="5" eb="7">
      <t>ダンリョク</t>
    </rPh>
    <phoneticPr fontId="1"/>
  </si>
  <si>
    <t>S</t>
    <phoneticPr fontId="1"/>
  </si>
  <si>
    <t>軸方向力</t>
    <rPh sb="0" eb="3">
      <t>ジクホウコウ</t>
    </rPh>
    <rPh sb="3" eb="4">
      <t>チカラ</t>
    </rPh>
    <phoneticPr fontId="1"/>
  </si>
  <si>
    <t>よって、せん断応力度を判定すると、下表のとおり。</t>
    <rPh sb="6" eb="7">
      <t>ダン</t>
    </rPh>
    <rPh sb="7" eb="10">
      <t>オウリョクド</t>
    </rPh>
    <rPh sb="11" eb="13">
      <t>ハンテイ</t>
    </rPh>
    <rPh sb="17" eb="18">
      <t>シタ</t>
    </rPh>
    <rPh sb="18" eb="19">
      <t>ヒョウ</t>
    </rPh>
    <phoneticPr fontId="1"/>
  </si>
  <si>
    <t>せん断力</t>
    <rPh sb="2" eb="3">
      <t>ダン</t>
    </rPh>
    <rPh sb="3" eb="4">
      <t>リョク</t>
    </rPh>
    <phoneticPr fontId="1"/>
  </si>
  <si>
    <t>S</t>
    <phoneticPr fontId="5"/>
  </si>
  <si>
    <t>せん断応力度</t>
    <rPh sb="2" eb="3">
      <t>ダン</t>
    </rPh>
    <rPh sb="3" eb="6">
      <t>オウリョクド</t>
    </rPh>
    <phoneticPr fontId="1"/>
  </si>
  <si>
    <r>
      <t>τ</t>
    </r>
    <r>
      <rPr>
        <i/>
        <vertAlign val="subscript"/>
        <sz val="11"/>
        <color theme="1"/>
        <rFont val="Times New Roman"/>
        <family val="1"/>
      </rPr>
      <t>a</t>
    </r>
    <phoneticPr fontId="1"/>
  </si>
  <si>
    <t>重要度２</t>
  </si>
  <si>
    <t>性能３</t>
  </si>
  <si>
    <t>慣用法</t>
    <rPh sb="0" eb="2">
      <t>カンヨウ</t>
    </rPh>
    <rPh sb="2" eb="3">
      <t>ホウ</t>
    </rPh>
    <phoneticPr fontId="1"/>
  </si>
  <si>
    <t>不要</t>
  </si>
  <si>
    <t>H24道擁p112, 174, 162</t>
    <rPh sb="3" eb="4">
      <t>ミチ</t>
    </rPh>
    <rPh sb="4" eb="5">
      <t>ヨウ</t>
    </rPh>
    <phoneticPr fontId="5"/>
  </si>
  <si>
    <t>H24道擁p113, 174, 162</t>
    <rPh sb="3" eb="4">
      <t>ミチ</t>
    </rPh>
    <rPh sb="4" eb="5">
      <t>ヨウ</t>
    </rPh>
    <phoneticPr fontId="5"/>
  </si>
  <si>
    <t>H24道擁p68,69,174,163</t>
    <rPh sb="3" eb="4">
      <t>ミチ</t>
    </rPh>
    <rPh sb="4" eb="5">
      <t>ヨウ</t>
    </rPh>
    <phoneticPr fontId="5"/>
  </si>
  <si>
    <t>H24道擁p175</t>
    <rPh sb="3" eb="4">
      <t>ミチ</t>
    </rPh>
    <rPh sb="4" eb="5">
      <t>ヨウ</t>
    </rPh>
    <phoneticPr fontId="5"/>
  </si>
  <si>
    <t>最小控長</t>
    <rPh sb="0" eb="2">
      <t>サイショウ</t>
    </rPh>
    <rPh sb="2" eb="3">
      <t>ヒカエ</t>
    </rPh>
    <rPh sb="3" eb="4">
      <t>ナガ</t>
    </rPh>
    <phoneticPr fontId="1"/>
  </si>
  <si>
    <t>=</t>
    <phoneticPr fontId="1"/>
  </si>
  <si>
    <t>H'</t>
    <phoneticPr fontId="1"/>
  </si>
  <si>
    <t>水平幅</t>
    <rPh sb="0" eb="3">
      <t>スイヘイハバ</t>
    </rPh>
    <phoneticPr fontId="1"/>
  </si>
  <si>
    <t>控長</t>
    <rPh sb="0" eb="1">
      <t>ヒカエ</t>
    </rPh>
    <rPh sb="1" eb="2">
      <t>ナガ</t>
    </rPh>
    <phoneticPr fontId="1"/>
  </si>
  <si>
    <t>：</t>
    <phoneticPr fontId="1"/>
  </si>
  <si>
    <r>
      <rPr>
        <sz val="11"/>
        <color theme="1"/>
        <rFont val="游ゴシック"/>
        <family val="1"/>
        <charset val="128"/>
      </rPr>
      <t>σ</t>
    </r>
    <r>
      <rPr>
        <vertAlign val="subscript"/>
        <sz val="11"/>
        <color theme="1"/>
        <rFont val="Times New Roman"/>
        <family val="1"/>
      </rPr>
      <t>ck</t>
    </r>
    <r>
      <rPr>
        <sz val="11"/>
        <color theme="1"/>
        <rFont val="Times New Roman"/>
        <family val="1"/>
      </rPr>
      <t>/</t>
    </r>
    <phoneticPr fontId="1"/>
  </si>
  <si>
    <t>無筋ｺﾝｸﾘｰﾄの許容圧縮応力度</t>
    <rPh sb="0" eb="1">
      <t>ム</t>
    </rPh>
    <rPh sb="1" eb="2">
      <t>スジ</t>
    </rPh>
    <rPh sb="9" eb="11">
      <t>キョヨウ</t>
    </rPh>
    <rPh sb="11" eb="13">
      <t>アッシュク</t>
    </rPh>
    <rPh sb="13" eb="15">
      <t>オウリョク</t>
    </rPh>
    <rPh sb="15" eb="16">
      <t>ド</t>
    </rPh>
    <phoneticPr fontId="1"/>
  </si>
  <si>
    <t>無筋ｺﾝｸﾘｰﾄの許容曲げ引張応力度</t>
    <rPh sb="0" eb="1">
      <t>ム</t>
    </rPh>
    <rPh sb="1" eb="2">
      <t>スジ</t>
    </rPh>
    <rPh sb="9" eb="11">
      <t>キョヨウ</t>
    </rPh>
    <rPh sb="11" eb="12">
      <t>マ</t>
    </rPh>
    <rPh sb="13" eb="15">
      <t>ヒッパリ</t>
    </rPh>
    <rPh sb="15" eb="17">
      <t>オウリョク</t>
    </rPh>
    <rPh sb="17" eb="18">
      <t>ド</t>
    </rPh>
    <phoneticPr fontId="1"/>
  </si>
  <si>
    <t>無筋ｺﾝｸﾘｰﾄの許容せん断応力度</t>
    <rPh sb="0" eb="1">
      <t>ム</t>
    </rPh>
    <rPh sb="1" eb="2">
      <t>スジ</t>
    </rPh>
    <rPh sb="9" eb="11">
      <t>キョヨウ</t>
    </rPh>
    <rPh sb="13" eb="14">
      <t>ダン</t>
    </rPh>
    <rPh sb="14" eb="16">
      <t>オウリョク</t>
    </rPh>
    <rPh sb="16" eb="17">
      <t>ド</t>
    </rPh>
    <phoneticPr fontId="1"/>
  </si>
  <si>
    <t>土質</t>
    <rPh sb="0" eb="2">
      <t>ドシツ</t>
    </rPh>
    <phoneticPr fontId="1"/>
  </si>
  <si>
    <r>
      <t>c</t>
    </r>
    <r>
      <rPr>
        <i/>
        <vertAlign val="subscript"/>
        <sz val="11"/>
        <color theme="1"/>
        <rFont val="Times New Roman"/>
        <family val="1"/>
      </rPr>
      <t>B</t>
    </r>
    <phoneticPr fontId="1"/>
  </si>
  <si>
    <t>1) 擁壁の安定性の照査</t>
    <rPh sb="3" eb="5">
      <t>ヨウヘキ</t>
    </rPh>
    <rPh sb="6" eb="9">
      <t>アンテイセイ</t>
    </rPh>
    <rPh sb="10" eb="12">
      <t>ショウサ</t>
    </rPh>
    <phoneticPr fontId="1"/>
  </si>
  <si>
    <t>①擁壁自体の安定性の照査</t>
    <rPh sb="1" eb="3">
      <t>ヨウヘキ</t>
    </rPh>
    <rPh sb="3" eb="5">
      <t>ジタイ</t>
    </rPh>
    <rPh sb="6" eb="9">
      <t>アンテイセイ</t>
    </rPh>
    <rPh sb="10" eb="12">
      <t>ショウサ</t>
    </rPh>
    <phoneticPr fontId="5"/>
  </si>
  <si>
    <t>②背面盛土及び基礎地盤を含む全体としての安定性の検討</t>
    <rPh sb="1" eb="3">
      <t>ハイメン</t>
    </rPh>
    <rPh sb="3" eb="5">
      <t>モリド</t>
    </rPh>
    <rPh sb="5" eb="6">
      <t>オヨ</t>
    </rPh>
    <rPh sb="7" eb="9">
      <t>キソ</t>
    </rPh>
    <rPh sb="9" eb="11">
      <t>ジバン</t>
    </rPh>
    <rPh sb="12" eb="13">
      <t>フク</t>
    </rPh>
    <rPh sb="14" eb="16">
      <t>ゼンタイ</t>
    </rPh>
    <rPh sb="20" eb="23">
      <t>アンテイセイ</t>
    </rPh>
    <rPh sb="24" eb="26">
      <t>ケントウ</t>
    </rPh>
    <phoneticPr fontId="5"/>
  </si>
  <si>
    <t>許容変位</t>
    <rPh sb="0" eb="2">
      <t>キョヨウ</t>
    </rPh>
    <rPh sb="2" eb="4">
      <t>ヘンイ</t>
    </rPh>
    <phoneticPr fontId="1"/>
  </si>
  <si>
    <t>省略</t>
    <rPh sb="0" eb="2">
      <t>ショウリャク</t>
    </rPh>
    <phoneticPr fontId="1"/>
  </si>
  <si>
    <t>H24道擁p110</t>
    <rPh sb="3" eb="4">
      <t>ミチ</t>
    </rPh>
    <rPh sb="4" eb="5">
      <t>ヨウ</t>
    </rPh>
    <phoneticPr fontId="5"/>
  </si>
  <si>
    <t>2. 設計に用いる荷重</t>
    <rPh sb="3" eb="5">
      <t>セッケイ</t>
    </rPh>
    <rPh sb="6" eb="7">
      <t>モチ</t>
    </rPh>
    <rPh sb="9" eb="11">
      <t>カジュウ</t>
    </rPh>
    <phoneticPr fontId="1"/>
  </si>
  <si>
    <t>2-1. 自重</t>
    <rPh sb="5" eb="7">
      <t>ジジュウ</t>
    </rPh>
    <phoneticPr fontId="1"/>
  </si>
  <si>
    <t>擁壁を区分し、面積と重心（0点からの水平方向距離）を求める。</t>
    <phoneticPr fontId="1"/>
  </si>
  <si>
    <t>2-1-1. 天端コンクリート</t>
    <rPh sb="7" eb="9">
      <t>テンバ</t>
    </rPh>
    <phoneticPr fontId="1"/>
  </si>
  <si>
    <t>2-1-4. ブロック（最上段以外）</t>
    <rPh sb="12" eb="15">
      <t>サイジョウダン</t>
    </rPh>
    <rPh sb="15" eb="17">
      <t>イガイ</t>
    </rPh>
    <phoneticPr fontId="1"/>
  </si>
  <si>
    <t>2-1-5. 裏込めコンクリート（最上段以外）</t>
    <rPh sb="7" eb="9">
      <t>ウラコ</t>
    </rPh>
    <rPh sb="17" eb="20">
      <t>サイジョウダン</t>
    </rPh>
    <rPh sb="20" eb="22">
      <t>イガイ</t>
    </rPh>
    <phoneticPr fontId="1"/>
  </si>
  <si>
    <t>2-1-6. 基礎コンクリート</t>
    <rPh sb="7" eb="9">
      <t>キソ</t>
    </rPh>
    <phoneticPr fontId="1"/>
  </si>
  <si>
    <t>2-1-7. 自重の集計</t>
    <rPh sb="7" eb="9">
      <t>ジジュウ</t>
    </rPh>
    <rPh sb="10" eb="12">
      <t>シュウケイ</t>
    </rPh>
    <phoneticPr fontId="1"/>
  </si>
  <si>
    <t>2-1-8. 各段の基準点と、基礎部基準点からの荷重作用位置</t>
    <rPh sb="7" eb="8">
      <t>カク</t>
    </rPh>
    <rPh sb="8" eb="9">
      <t>ダン</t>
    </rPh>
    <rPh sb="10" eb="13">
      <t>キジュンテン</t>
    </rPh>
    <rPh sb="15" eb="18">
      <t>キソブ</t>
    </rPh>
    <rPh sb="18" eb="21">
      <t>キジュンテン</t>
    </rPh>
    <rPh sb="24" eb="26">
      <t>カジュウ</t>
    </rPh>
    <rPh sb="26" eb="30">
      <t>サヨウイチ</t>
    </rPh>
    <phoneticPr fontId="1"/>
  </si>
  <si>
    <t>2-2. 土圧</t>
    <rPh sb="5" eb="7">
      <t>ドアツ</t>
    </rPh>
    <phoneticPr fontId="1"/>
  </si>
  <si>
    <t>砂質地盤（密）</t>
    <rPh sb="0" eb="2">
      <t>サシツ</t>
    </rPh>
    <rPh sb="2" eb="4">
      <t>ジバン</t>
    </rPh>
    <rPh sb="5" eb="6">
      <t>ミツ</t>
    </rPh>
    <phoneticPr fontId="1"/>
  </si>
  <si>
    <t>3-1. 作用力の集計</t>
    <rPh sb="5" eb="8">
      <t>サヨウリョク</t>
    </rPh>
    <rPh sb="9" eb="11">
      <t>シュウケイ</t>
    </rPh>
    <phoneticPr fontId="5"/>
  </si>
  <si>
    <t>3-2. 転倒に対する照査</t>
    <phoneticPr fontId="5"/>
  </si>
  <si>
    <t>許容最小距離</t>
    <rPh sb="0" eb="2">
      <t>キョヨウ</t>
    </rPh>
    <rPh sb="2" eb="4">
      <t>サイショウ</t>
    </rPh>
    <rPh sb="4" eb="6">
      <t>キョリ</t>
    </rPh>
    <phoneticPr fontId="1"/>
  </si>
  <si>
    <t>3-3. 滑動に対する照査</t>
    <phoneticPr fontId="5"/>
  </si>
  <si>
    <t>下式のとおり、滑動に対する抵抗力を滑動力で除して、安全率を算出する。（H24道擁p113）</t>
    <rPh sb="0" eb="1">
      <t>シタ</t>
    </rPh>
    <rPh sb="1" eb="2">
      <t>シキ</t>
    </rPh>
    <rPh sb="7" eb="9">
      <t>カツドウ</t>
    </rPh>
    <rPh sb="10" eb="11">
      <t>タイ</t>
    </rPh>
    <rPh sb="13" eb="16">
      <t>テイコウリョク</t>
    </rPh>
    <rPh sb="17" eb="19">
      <t>カツドウ</t>
    </rPh>
    <rPh sb="19" eb="20">
      <t>リョク</t>
    </rPh>
    <rPh sb="21" eb="22">
      <t>ジョ</t>
    </rPh>
    <rPh sb="25" eb="27">
      <t>アンゼン</t>
    </rPh>
    <phoneticPr fontId="5"/>
  </si>
  <si>
    <r>
      <rPr>
        <sz val="11"/>
        <color theme="1"/>
        <rFont val="Times New Roman"/>
        <family val="1"/>
      </rPr>
      <t>Σ</t>
    </r>
    <r>
      <rPr>
        <i/>
        <sz val="11"/>
        <color theme="1"/>
        <rFont val="Times New Roman"/>
        <family val="1"/>
      </rPr>
      <t>V</t>
    </r>
    <r>
      <rPr>
        <i/>
        <sz val="11"/>
        <color theme="1"/>
        <rFont val="游ゴシック"/>
        <family val="1"/>
        <charset val="128"/>
      </rPr>
      <t>・</t>
    </r>
    <phoneticPr fontId="5"/>
  </si>
  <si>
    <t>+</t>
    <phoneticPr fontId="5"/>
  </si>
  <si>
    <r>
      <rPr>
        <i/>
        <sz val="11"/>
        <color theme="1"/>
        <rFont val="Times New Roman"/>
        <family val="1"/>
      </rPr>
      <t>c</t>
    </r>
    <r>
      <rPr>
        <i/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游ゴシック"/>
        <family val="2"/>
      </rPr>
      <t>・</t>
    </r>
    <phoneticPr fontId="5"/>
  </si>
  <si>
    <t>B'</t>
    <phoneticPr fontId="5"/>
  </si>
  <si>
    <r>
      <t>このうち、付着力</t>
    </r>
    <r>
      <rPr>
        <i/>
        <sz val="11"/>
        <color theme="1"/>
        <rFont val="Times New Roman"/>
        <family val="1"/>
      </rPr>
      <t>c</t>
    </r>
    <r>
      <rPr>
        <i/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=0</t>
    </r>
    <r>
      <rPr>
        <sz val="11"/>
        <color theme="1"/>
        <rFont val="游ゴシック"/>
        <family val="2"/>
        <charset val="128"/>
        <scheme val="minor"/>
      </rPr>
      <t>であるため、下式のとおり、安全率を算出する。</t>
    </r>
    <rPh sb="5" eb="8">
      <t>フチャクリョク</t>
    </rPh>
    <rPh sb="18" eb="19">
      <t>シタ</t>
    </rPh>
    <rPh sb="19" eb="20">
      <t>シキ</t>
    </rPh>
    <rPh sb="25" eb="27">
      <t>アンゼン</t>
    </rPh>
    <rPh sb="27" eb="28">
      <t>リツ</t>
    </rPh>
    <rPh sb="29" eb="31">
      <t>サンシュツ</t>
    </rPh>
    <phoneticPr fontId="5"/>
  </si>
  <si>
    <t>3-4. 支持に対する照査</t>
    <phoneticPr fontId="5"/>
  </si>
  <si>
    <r>
      <t>擁壁底面のつま先回りの作用モーメント</t>
    </r>
    <r>
      <rPr>
        <sz val="11"/>
        <color theme="1"/>
        <rFont val="Times New Roman"/>
        <family val="1"/>
      </rPr>
      <t>(kN</t>
    </r>
    <r>
      <rPr>
        <sz val="11"/>
        <color theme="1"/>
        <rFont val="游ゴシック"/>
        <family val="2"/>
        <charset val="128"/>
      </rPr>
      <t>・</t>
    </r>
    <r>
      <rPr>
        <sz val="11"/>
        <color theme="1"/>
        <rFont val="Times New Roman"/>
        <family val="1"/>
      </rPr>
      <t>m/m)</t>
    </r>
    <rPh sb="0" eb="2">
      <t>ヨウヘキ</t>
    </rPh>
    <rPh sb="2" eb="4">
      <t>テイメン</t>
    </rPh>
    <rPh sb="7" eb="8">
      <t>サキ</t>
    </rPh>
    <rPh sb="8" eb="9">
      <t>マワ</t>
    </rPh>
    <rPh sb="11" eb="13">
      <t>サヨウ</t>
    </rPh>
    <phoneticPr fontId="1"/>
  </si>
  <si>
    <t>θ</t>
    <phoneticPr fontId="1"/>
  </si>
  <si>
    <t>壁面傾斜角(壁面より左回り正)</t>
    <rPh sb="0" eb="2">
      <t>ヘキメン</t>
    </rPh>
    <rPh sb="2" eb="4">
      <t>ケイシャ</t>
    </rPh>
    <rPh sb="4" eb="5">
      <t>カク</t>
    </rPh>
    <rPh sb="6" eb="8">
      <t>ヘキメン</t>
    </rPh>
    <rPh sb="10" eb="11">
      <t>ヒダリ</t>
    </rPh>
    <rPh sb="11" eb="12">
      <t>マワ</t>
    </rPh>
    <rPh sb="13" eb="14">
      <t>セイ</t>
    </rPh>
    <phoneticPr fontId="1"/>
  </si>
  <si>
    <r>
      <t>n</t>
    </r>
    <r>
      <rPr>
        <i/>
        <vertAlign val="subscript"/>
        <sz val="11"/>
        <color theme="1"/>
        <rFont val="Times New Roman"/>
        <family val="1"/>
      </rPr>
      <t>r</t>
    </r>
    <phoneticPr fontId="1"/>
  </si>
  <si>
    <t>3. 擁壁の安定性の照査</t>
    <rPh sb="3" eb="5">
      <t>ヨウヘキ</t>
    </rPh>
    <rPh sb="6" eb="8">
      <t>アンテイ</t>
    </rPh>
    <rPh sb="8" eb="9">
      <t>セイ</t>
    </rPh>
    <rPh sb="10" eb="12">
      <t>ショウサ</t>
    </rPh>
    <phoneticPr fontId="1"/>
  </si>
  <si>
    <t>擁壁自体の安定性を照査する。</t>
    <rPh sb="0" eb="2">
      <t>ヨウヘキ</t>
    </rPh>
    <rPh sb="2" eb="4">
      <t>ジタイ</t>
    </rPh>
    <rPh sb="5" eb="8">
      <t>アンテイセイ</t>
    </rPh>
    <rPh sb="9" eb="11">
      <t>ショウサ</t>
    </rPh>
    <phoneticPr fontId="1"/>
  </si>
  <si>
    <t>4-1. 荷重の計算</t>
    <rPh sb="5" eb="7">
      <t>カジュウ</t>
    </rPh>
    <rPh sb="8" eb="10">
      <t>ケイサン</t>
    </rPh>
    <phoneticPr fontId="1"/>
  </si>
  <si>
    <t>4-2. 荷重の集計</t>
    <rPh sb="5" eb="7">
      <t>カジュウ</t>
    </rPh>
    <rPh sb="8" eb="10">
      <t>シュウケイ</t>
    </rPh>
    <phoneticPr fontId="1"/>
  </si>
  <si>
    <t>4-2-1. 6段目</t>
    <rPh sb="8" eb="10">
      <t>ダンメ</t>
    </rPh>
    <phoneticPr fontId="1"/>
  </si>
  <si>
    <t>4-2-2. 5段目</t>
    <rPh sb="8" eb="10">
      <t>ダンメ</t>
    </rPh>
    <phoneticPr fontId="1"/>
  </si>
  <si>
    <t>4-2-3. 4段目</t>
    <rPh sb="8" eb="10">
      <t>ダンメ</t>
    </rPh>
    <phoneticPr fontId="1"/>
  </si>
  <si>
    <t>4-2-4. 3段目</t>
    <rPh sb="8" eb="10">
      <t>ダンメ</t>
    </rPh>
    <phoneticPr fontId="1"/>
  </si>
  <si>
    <t>4-2-5. 2段目</t>
    <rPh sb="8" eb="10">
      <t>ダンメ</t>
    </rPh>
    <phoneticPr fontId="1"/>
  </si>
  <si>
    <t>4-2-6. １段目</t>
    <rPh sb="8" eb="10">
      <t>ダンメ</t>
    </rPh>
    <phoneticPr fontId="1"/>
  </si>
  <si>
    <t>4-1-1. 自重</t>
    <rPh sb="7" eb="9">
      <t>ジジュウ</t>
    </rPh>
    <phoneticPr fontId="1"/>
  </si>
  <si>
    <t>4-1-2. 土圧</t>
    <rPh sb="7" eb="9">
      <t>ドアツ</t>
    </rPh>
    <phoneticPr fontId="1"/>
  </si>
  <si>
    <t>「2-1. 自重」で算出した値とする。</t>
    <rPh sb="6" eb="8">
      <t>ジジュウ</t>
    </rPh>
    <rPh sb="10" eb="12">
      <t>サンシュツ</t>
    </rPh>
    <rPh sb="14" eb="15">
      <t>アタイ</t>
    </rPh>
    <phoneticPr fontId="1"/>
  </si>
  <si>
    <t>各ブロック（各段）の下面での応力度を照査する。</t>
    <rPh sb="0" eb="1">
      <t>カク</t>
    </rPh>
    <rPh sb="6" eb="7">
      <t>カク</t>
    </rPh>
    <rPh sb="7" eb="8">
      <t>ダン</t>
    </rPh>
    <rPh sb="10" eb="12">
      <t>シタメン</t>
    </rPh>
    <rPh sb="14" eb="17">
      <t>オウリョクド</t>
    </rPh>
    <rPh sb="18" eb="20">
      <t>ショウサ</t>
    </rPh>
    <phoneticPr fontId="1"/>
  </si>
  <si>
    <t>4-1-3. 壁面地盤反力</t>
    <rPh sb="7" eb="9">
      <t>ヘキメン</t>
    </rPh>
    <rPh sb="8" eb="9">
      <t>メン</t>
    </rPh>
    <rPh sb="9" eb="13">
      <t>ジバンハンリョク</t>
    </rPh>
    <phoneticPr fontId="1"/>
  </si>
  <si>
    <r>
      <t xml:space="preserve">壁面地盤反力度が作用する背面の延長 </t>
    </r>
    <r>
      <rPr>
        <i/>
        <sz val="11"/>
        <color theme="1"/>
        <rFont val="Times New Roman"/>
        <family val="1"/>
      </rPr>
      <t>z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 xml:space="preserve">' </t>
    </r>
    <r>
      <rPr>
        <sz val="11"/>
        <color theme="1"/>
        <rFont val="游ゴシック"/>
        <family val="2"/>
        <charset val="128"/>
        <scheme val="minor"/>
      </rPr>
      <t>は下式で算出できる。</t>
    </r>
    <rPh sb="0" eb="6">
      <t>ヘキメンジバンハンリョク</t>
    </rPh>
    <rPh sb="6" eb="7">
      <t>ド</t>
    </rPh>
    <rPh sb="8" eb="10">
      <t>サヨウ</t>
    </rPh>
    <rPh sb="12" eb="14">
      <t>ハイメン</t>
    </rPh>
    <rPh sb="15" eb="17">
      <t>エンチョウ</t>
    </rPh>
    <rPh sb="23" eb="24">
      <t>シタ</t>
    </rPh>
    <rPh sb="24" eb="25">
      <t>シキ</t>
    </rPh>
    <rPh sb="26" eb="28">
      <t>サンシュツ</t>
    </rPh>
    <phoneticPr fontId="1"/>
  </si>
  <si>
    <r>
      <t xml:space="preserve">照査断面位置の壁面地盤反力度 </t>
    </r>
    <r>
      <rPr>
        <i/>
        <sz val="11"/>
        <color theme="1"/>
        <rFont val="Times New Roman"/>
        <family val="1"/>
      </rPr>
      <t>q</t>
    </r>
    <r>
      <rPr>
        <i/>
        <vertAlign val="subscript"/>
        <sz val="11"/>
        <color theme="1"/>
        <rFont val="Times New Roman"/>
        <family val="1"/>
      </rPr>
      <t>t</t>
    </r>
    <r>
      <rPr>
        <sz val="11"/>
        <color theme="1"/>
        <rFont val="游ゴシック"/>
        <family val="2"/>
        <charset val="128"/>
        <scheme val="minor"/>
      </rPr>
      <t>' は、三角形の相似より</t>
    </r>
    <rPh sb="0" eb="2">
      <t>ショウサ</t>
    </rPh>
    <rPh sb="2" eb="4">
      <t>ダンメン</t>
    </rPh>
    <rPh sb="4" eb="6">
      <t>イチ</t>
    </rPh>
    <rPh sb="7" eb="13">
      <t>ヘキメンジバンハンリョク</t>
    </rPh>
    <rPh sb="13" eb="14">
      <t>ド</t>
    </rPh>
    <rPh sb="21" eb="24">
      <t>サンカクケイ</t>
    </rPh>
    <rPh sb="25" eb="27">
      <t>ソウジ</t>
    </rPh>
    <phoneticPr fontId="1"/>
  </si>
  <si>
    <t>下式で算出できる。</t>
    <phoneticPr fontId="1"/>
  </si>
  <si>
    <r>
      <t xml:space="preserve">壁面地盤反力の合力 </t>
    </r>
    <r>
      <rPr>
        <i/>
        <sz val="11"/>
        <color theme="1"/>
        <rFont val="Times New Roman"/>
        <family val="1"/>
      </rPr>
      <t>Q</t>
    </r>
    <r>
      <rPr>
        <i/>
        <vertAlign val="subscript"/>
        <sz val="11"/>
        <color theme="1"/>
        <rFont val="Times New Roman"/>
        <family val="1"/>
      </rPr>
      <t>tzi</t>
    </r>
    <r>
      <rPr>
        <sz val="11"/>
        <color theme="1"/>
        <rFont val="游ゴシック"/>
        <family val="2"/>
        <charset val="128"/>
        <scheme val="minor"/>
      </rPr>
      <t xml:space="preserve"> は台形の面積なので、下式で算出できる。</t>
    </r>
    <rPh sb="0" eb="6">
      <t>ヘキメンジバンハンリョク</t>
    </rPh>
    <rPh sb="7" eb="9">
      <t>ゴウリョク</t>
    </rPh>
    <rPh sb="16" eb="18">
      <t>ダイケイ</t>
    </rPh>
    <rPh sb="19" eb="21">
      <t>メンセキ</t>
    </rPh>
    <rPh sb="25" eb="27">
      <t>シタシキ</t>
    </rPh>
    <rPh sb="28" eb="30">
      <t>サンシュツ</t>
    </rPh>
    <phoneticPr fontId="1"/>
  </si>
  <si>
    <t>4-3. 応力度算出と判定</t>
    <rPh sb="5" eb="8">
      <t>オウリョクド</t>
    </rPh>
    <rPh sb="8" eb="10">
      <t>サンシュツ</t>
    </rPh>
    <rPh sb="11" eb="13">
      <t>ハンテイ</t>
    </rPh>
    <phoneticPr fontId="1"/>
  </si>
  <si>
    <r>
      <t>(kN</t>
    </r>
    <r>
      <rPr>
        <sz val="11"/>
        <color theme="1"/>
        <rFont val="Yu Gothic"/>
        <family val="1"/>
        <charset val="128"/>
      </rPr>
      <t>・</t>
    </r>
    <r>
      <rPr>
        <sz val="11"/>
        <color theme="1"/>
        <rFont val="Times New Roman"/>
        <family val="1"/>
      </rPr>
      <t>m/m)</t>
    </r>
    <phoneticPr fontId="5"/>
  </si>
  <si>
    <r>
      <t>(kN</t>
    </r>
    <r>
      <rPr>
        <sz val="11"/>
        <color theme="1"/>
        <rFont val="ＭＳ Ｐ明朝"/>
        <family val="1"/>
        <charset val="128"/>
      </rPr>
      <t>・</t>
    </r>
    <r>
      <rPr>
        <sz val="11"/>
        <color theme="1"/>
        <rFont val="Times New Roman"/>
        <family val="1"/>
      </rPr>
      <t>m/m)</t>
    </r>
    <phoneticPr fontId="5"/>
  </si>
  <si>
    <t>1-10. 照査における許容値</t>
    <rPh sb="6" eb="8">
      <t>ショウサ</t>
    </rPh>
    <rPh sb="12" eb="15">
      <t>キョヨウチ</t>
    </rPh>
    <phoneticPr fontId="1"/>
  </si>
  <si>
    <t>(H24道擁p161,175)</t>
    <rPh sb="4" eb="5">
      <t>ミチ</t>
    </rPh>
    <rPh sb="5" eb="6">
      <t>ヨウ</t>
    </rPh>
    <phoneticPr fontId="5"/>
  </si>
  <si>
    <t>最上段</t>
    <rPh sb="0" eb="2">
      <t>サイジョウ</t>
    </rPh>
    <rPh sb="2" eb="3">
      <t>ダン</t>
    </rPh>
    <phoneticPr fontId="5"/>
  </si>
  <si>
    <t>1-6. 使用材料（大型ブロック）</t>
    <rPh sb="5" eb="9">
      <t>シヨウザイリョウ</t>
    </rPh>
    <rPh sb="10" eb="12">
      <t>オオガタ</t>
    </rPh>
    <phoneticPr fontId="5"/>
  </si>
  <si>
    <t>H24道擁p166,170</t>
    <rPh sb="3" eb="4">
      <t>ミチ</t>
    </rPh>
    <rPh sb="4" eb="5">
      <t>ヨウ</t>
    </rPh>
    <phoneticPr fontId="5"/>
  </si>
  <si>
    <t>常時</t>
    <rPh sb="0" eb="2">
      <t>ジョウジ</t>
    </rPh>
    <phoneticPr fontId="5"/>
  </si>
  <si>
    <t>2-1-2. ブロック（最上段）</t>
    <rPh sb="12" eb="14">
      <t>サイジョウ</t>
    </rPh>
    <rPh sb="14" eb="15">
      <t>ダン</t>
    </rPh>
    <phoneticPr fontId="1"/>
  </si>
  <si>
    <t>2-1-3. 裏込めコンクリート（最上段)</t>
    <rPh sb="7" eb="9">
      <t>ウラゴ</t>
    </rPh>
    <rPh sb="17" eb="19">
      <t>サイジョウ</t>
    </rPh>
    <rPh sb="19" eb="20">
      <t>ダン</t>
    </rPh>
    <phoneticPr fontId="1"/>
  </si>
  <si>
    <r>
      <t>(kN</t>
    </r>
    <r>
      <rPr>
        <sz val="11"/>
        <color theme="1"/>
        <rFont val="游ゴシック"/>
        <family val="2"/>
        <charset val="128"/>
      </rPr>
      <t>・</t>
    </r>
    <r>
      <rPr>
        <sz val="11"/>
        <color theme="1"/>
        <rFont val="Times New Roman"/>
        <family val="1"/>
      </rPr>
      <t>m/m)</t>
    </r>
    <phoneticPr fontId="5"/>
  </si>
  <si>
    <r>
      <t>P</t>
    </r>
    <r>
      <rPr>
        <i/>
        <vertAlign val="subscript"/>
        <sz val="11"/>
        <color rgb="FF000000"/>
        <rFont val="Times New Roman"/>
        <family val="1"/>
      </rPr>
      <t>iH</t>
    </r>
    <phoneticPr fontId="1"/>
  </si>
  <si>
    <r>
      <t>P</t>
    </r>
    <r>
      <rPr>
        <i/>
        <vertAlign val="subscript"/>
        <sz val="11"/>
        <color rgb="FF000000"/>
        <rFont val="Times New Roman"/>
        <family val="1"/>
      </rPr>
      <t>iV</t>
    </r>
    <phoneticPr fontId="1"/>
  </si>
  <si>
    <t>前述の「3-4.支持に対する照査」と同様、簡便法で計算する。（H24道擁p164）</t>
    <rPh sb="0" eb="2">
      <t>ゼンジュツ</t>
    </rPh>
    <rPh sb="8" eb="10">
      <t>シジ</t>
    </rPh>
    <rPh sb="11" eb="12">
      <t>タイ</t>
    </rPh>
    <rPh sb="14" eb="16">
      <t>ショウサ</t>
    </rPh>
    <rPh sb="18" eb="20">
      <t>ドウヨウ</t>
    </rPh>
    <phoneticPr fontId="1"/>
  </si>
  <si>
    <t>「3-4.支持に対する照査」より</t>
    <rPh sb="5" eb="7">
      <t>シジ</t>
    </rPh>
    <rPh sb="8" eb="9">
      <t>タイ</t>
    </rPh>
    <rPh sb="11" eb="13">
      <t>ショウサ</t>
    </rPh>
    <phoneticPr fontId="1"/>
  </si>
  <si>
    <r>
      <t>-Q</t>
    </r>
    <r>
      <rPr>
        <i/>
        <vertAlign val="subscript"/>
        <sz val="11"/>
        <color theme="1"/>
        <rFont val="Times New Roman"/>
        <family val="1"/>
      </rPr>
      <t>tzi</t>
    </r>
    <phoneticPr fontId="1"/>
  </si>
  <si>
    <t>鉛直力、水平力、モーメント</t>
    <rPh sb="0" eb="3">
      <t>エンチョクリョク</t>
    </rPh>
    <rPh sb="4" eb="7">
      <t>スイヘイリョク</t>
    </rPh>
    <phoneticPr fontId="1"/>
  </si>
  <si>
    <r>
      <t>コンクリート断面の図心軸から軸方向力の作用点までの距離（偏心距離</t>
    </r>
    <r>
      <rPr>
        <i/>
        <sz val="11"/>
        <color theme="1"/>
        <rFont val="Times New Roman"/>
        <family val="1"/>
      </rPr>
      <t>e</t>
    </r>
    <r>
      <rPr>
        <sz val="11"/>
        <color theme="1"/>
        <rFont val="游ゴシック"/>
        <family val="2"/>
        <charset val="128"/>
        <scheme val="minor"/>
      </rPr>
      <t>）は下式で算出できる。</t>
    </r>
    <rPh sb="28" eb="30">
      <t>ヘンシン</t>
    </rPh>
    <rPh sb="30" eb="32">
      <t>キョリ</t>
    </rPh>
    <rPh sb="35" eb="37">
      <t>シタシキ</t>
    </rPh>
    <rPh sb="38" eb="40">
      <t>サンシュツ</t>
    </rPh>
    <phoneticPr fontId="1"/>
  </si>
  <si>
    <t>無筋コンクリート部材断面に生じる圧縮（曲げ引張）応力度は下式で算出できる。（H24道擁143）</t>
    <rPh sb="0" eb="2">
      <t>ムキン</t>
    </rPh>
    <rPh sb="8" eb="10">
      <t>ブザイ</t>
    </rPh>
    <rPh sb="10" eb="12">
      <t>ダンメン</t>
    </rPh>
    <rPh sb="13" eb="14">
      <t>ショウ</t>
    </rPh>
    <rPh sb="16" eb="18">
      <t>アッシュク</t>
    </rPh>
    <rPh sb="19" eb="20">
      <t>マ</t>
    </rPh>
    <rPh sb="21" eb="23">
      <t>ヒッパリ</t>
    </rPh>
    <rPh sb="24" eb="26">
      <t>オウリョク</t>
    </rPh>
    <rPh sb="26" eb="27">
      <t>ド</t>
    </rPh>
    <rPh sb="28" eb="29">
      <t>シタ</t>
    </rPh>
    <rPh sb="29" eb="30">
      <t>シキ</t>
    </rPh>
    <rPh sb="31" eb="33">
      <t>サンシュツ</t>
    </rPh>
    <rPh sb="41" eb="42">
      <t>ミチ</t>
    </rPh>
    <rPh sb="42" eb="43">
      <t>ヨウ</t>
    </rPh>
    <phoneticPr fontId="1"/>
  </si>
  <si>
    <t>m³</t>
    <phoneticPr fontId="1"/>
  </si>
  <si>
    <t>よって、縁応力度（圧縮：正、曲げ引張：負）を判定すると、下表のとおり。</t>
    <phoneticPr fontId="1"/>
  </si>
  <si>
    <t>コンクリート全断面積（延長方向は1.0mとする。）</t>
    <rPh sb="6" eb="10">
      <t>ゼンダンメンセキ</t>
    </rPh>
    <phoneticPr fontId="1"/>
  </si>
  <si>
    <t>無筋コンクリート部材断面に生じる平均せん断応力度は下式で算出できる。（H24道擁145）</t>
    <rPh sb="0" eb="2">
      <t>ムキン</t>
    </rPh>
    <rPh sb="8" eb="10">
      <t>ブザイ</t>
    </rPh>
    <rPh sb="10" eb="12">
      <t>ダンメン</t>
    </rPh>
    <rPh sb="13" eb="14">
      <t>ショウ</t>
    </rPh>
    <rPh sb="16" eb="18">
      <t>ヘイキン</t>
    </rPh>
    <rPh sb="20" eb="21">
      <t>ダン</t>
    </rPh>
    <rPh sb="21" eb="23">
      <t>オウリョク</t>
    </rPh>
    <rPh sb="23" eb="24">
      <t>ド</t>
    </rPh>
    <rPh sb="25" eb="26">
      <t>シタ</t>
    </rPh>
    <rPh sb="26" eb="27">
      <t>シキ</t>
    </rPh>
    <rPh sb="28" eb="30">
      <t>サンシュツ</t>
    </rPh>
    <rPh sb="38" eb="39">
      <t>ミチ</t>
    </rPh>
    <rPh sb="39" eb="40">
      <t>ヨウ</t>
    </rPh>
    <phoneticPr fontId="1"/>
  </si>
  <si>
    <t>2) 部材の安全性の照査</t>
    <rPh sb="3" eb="5">
      <t>ブザイ</t>
    </rPh>
    <rPh sb="6" eb="8">
      <t>アンゼン</t>
    </rPh>
    <rPh sb="8" eb="9">
      <t>セイ</t>
    </rPh>
    <rPh sb="10" eb="12">
      <t>ショウサ</t>
    </rPh>
    <phoneticPr fontId="5"/>
  </si>
  <si>
    <t>4. 部材の安全性の照査</t>
    <rPh sb="6" eb="8">
      <t>アンゼン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</si>
</sst>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"/>
    <numFmt numFmtId="177" formatCode="0.0"/>
    <numFmt numFmtId="178" formatCode="0.000_ "/>
  </numFmts>
  <fonts count="3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6"/>
      <name val="游ゴシック"/>
      <family val="3"/>
      <charset val="128"/>
      <scheme val="minor"/>
    </font>
    <font>
      <i/>
      <vertAlign val="subscript"/>
      <sz val="11"/>
      <color theme="1"/>
      <name val="Times New Roman"/>
      <family val="1"/>
    </font>
    <font>
      <sz val="11"/>
      <color theme="1"/>
      <name val="游ゴシック"/>
      <family val="2"/>
      <charset val="128"/>
      <scheme val="minor"/>
    </font>
    <font>
      <i/>
      <sz val="11"/>
      <color rgb="FF000000"/>
      <name val="Times New Roman"/>
      <family val="1"/>
    </font>
    <font>
      <i/>
      <vertAlign val="subscript"/>
      <sz val="11"/>
      <color rgb="FF000000"/>
      <name val="Times New Roman"/>
      <family val="1"/>
    </font>
    <font>
      <sz val="11"/>
      <color theme="1"/>
      <name val="ＭＳ Ｐ明朝"/>
      <family val="1"/>
      <charset val="128"/>
    </font>
    <font>
      <sz val="11"/>
      <color theme="1"/>
      <name val="游ゴシック"/>
      <family val="2"/>
      <charset val="128"/>
    </font>
    <font>
      <sz val="11"/>
      <color theme="1"/>
      <name val="HGP明朝B"/>
      <family val="1"/>
      <charset val="128"/>
    </font>
    <font>
      <vertAlign val="subscript"/>
      <sz val="11"/>
      <color theme="1"/>
      <name val="HGP明朝B"/>
      <family val="1"/>
      <charset val="128"/>
    </font>
    <font>
      <vertAlign val="superscript"/>
      <sz val="11"/>
      <color theme="1"/>
      <name val="HGP明朝B"/>
      <family val="1"/>
      <charset val="128"/>
    </font>
    <font>
      <i/>
      <sz val="11"/>
      <color theme="1"/>
      <name val="ＭＳ Ｐ明朝"/>
      <family val="1"/>
      <charset val="128"/>
    </font>
    <font>
      <i/>
      <sz val="11"/>
      <color theme="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rgb="FF000000"/>
      <name val="Times New Roman"/>
      <family val="1"/>
    </font>
    <font>
      <sz val="11"/>
      <color theme="1"/>
      <name val="ＭＳ 明朝"/>
      <family val="1"/>
      <charset val="128"/>
    </font>
    <font>
      <i/>
      <sz val="11"/>
      <color theme="1"/>
      <name val="Times New Roman"/>
      <family val="1"/>
      <charset val="161"/>
    </font>
    <font>
      <vertAlign val="subscript"/>
      <sz val="11"/>
      <color theme="1"/>
      <name val="游ゴシック"/>
      <family val="3"/>
      <charset val="128"/>
      <scheme val="minor"/>
    </font>
    <font>
      <i/>
      <vertAlign val="subscript"/>
      <sz val="11"/>
      <color theme="1"/>
      <name val="Times New Roman"/>
      <family val="2"/>
      <charset val="161"/>
    </font>
    <font>
      <sz val="11"/>
      <color theme="1"/>
      <name val="游ゴシック"/>
      <family val="1"/>
      <charset val="128"/>
      <scheme val="minor"/>
    </font>
    <font>
      <sz val="11"/>
      <color theme="0" tint="-0.1499984740745262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</font>
    <font>
      <sz val="11"/>
      <color theme="1"/>
      <name val="Times New Roman"/>
      <family val="1"/>
      <charset val="128"/>
    </font>
    <font>
      <sz val="11"/>
      <color theme="1"/>
      <name val="Calibri"/>
      <family val="1"/>
      <charset val="161"/>
    </font>
    <font>
      <sz val="11"/>
      <color theme="1"/>
      <name val="HGP明朝B"/>
      <family val="1"/>
      <charset val="161"/>
    </font>
    <font>
      <vertAlign val="subscript"/>
      <sz val="11"/>
      <color theme="1"/>
      <name val="HGP明朝B"/>
      <family val="1"/>
    </font>
    <font>
      <sz val="11"/>
      <color theme="1"/>
      <name val="游ゴシック"/>
      <family val="1"/>
      <charset val="128"/>
    </font>
    <font>
      <i/>
      <sz val="11"/>
      <color theme="1"/>
      <name val="游ゴシック"/>
      <family val="1"/>
      <charset val="128"/>
    </font>
    <font>
      <sz val="11"/>
      <color theme="1"/>
      <name val="游ゴシック"/>
      <family val="2"/>
    </font>
    <font>
      <sz val="11"/>
      <color theme="1"/>
      <name val="Yu Gothic"/>
      <family val="1"/>
      <charset val="128"/>
    </font>
    <font>
      <u/>
      <sz val="11"/>
      <color theme="10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</cellStyleXfs>
  <cellXfs count="39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5" xfId="0" applyBorder="1">
      <alignment vertical="center"/>
    </xf>
    <xf numFmtId="0" fontId="3" fillId="0" borderId="5" xfId="0" applyFont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7" fillId="0" borderId="0" xfId="1">
      <alignment vertical="center"/>
    </xf>
    <xf numFmtId="0" fontId="7" fillId="0" borderId="0" xfId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5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0" xfId="1" applyFont="1">
      <alignment vertical="center"/>
    </xf>
    <xf numFmtId="0" fontId="3" fillId="0" borderId="0" xfId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/>
    <xf numFmtId="0" fontId="7" fillId="0" borderId="5" xfId="1" applyBorder="1">
      <alignment vertical="center"/>
    </xf>
    <xf numFmtId="176" fontId="2" fillId="0" borderId="0" xfId="0" applyNumberFormat="1" applyFont="1" applyAlignment="1">
      <alignment horizontal="center"/>
    </xf>
    <xf numFmtId="176" fontId="3" fillId="0" borderId="0" xfId="0" applyNumberFormat="1" applyFont="1">
      <alignment vertical="center"/>
    </xf>
    <xf numFmtId="0" fontId="0" fillId="0" borderId="0" xfId="0" quotePrefix="1" applyAlignment="1">
      <alignment horizontal="right"/>
    </xf>
    <xf numFmtId="176" fontId="2" fillId="0" borderId="0" xfId="0" applyNumberFormat="1" applyFont="1">
      <alignment vertical="center"/>
    </xf>
    <xf numFmtId="0" fontId="0" fillId="0" borderId="6" xfId="0" applyBorder="1">
      <alignment vertical="center"/>
    </xf>
    <xf numFmtId="0" fontId="0" fillId="0" borderId="12" xfId="0" applyBorder="1">
      <alignment vertical="center"/>
    </xf>
    <xf numFmtId="0" fontId="3" fillId="0" borderId="12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1" xfId="0" applyFont="1" applyBorder="1">
      <alignment vertical="center"/>
    </xf>
    <xf numFmtId="0" fontId="0" fillId="0" borderId="7" xfId="0" applyBorder="1">
      <alignment vertical="center"/>
    </xf>
    <xf numFmtId="1" fontId="2" fillId="0" borderId="0" xfId="0" applyNumberFormat="1" applyFont="1">
      <alignment vertical="center"/>
    </xf>
    <xf numFmtId="0" fontId="18" fillId="0" borderId="2" xfId="1" applyFont="1" applyBorder="1" applyAlignment="1">
      <alignment horizontal="left" vertical="center"/>
    </xf>
    <xf numFmtId="0" fontId="3" fillId="0" borderId="0" xfId="1" applyFont="1">
      <alignment vertical="center"/>
    </xf>
    <xf numFmtId="0" fontId="3" fillId="0" borderId="5" xfId="1" applyFont="1" applyBorder="1">
      <alignment vertical="center"/>
    </xf>
    <xf numFmtId="0" fontId="15" fillId="0" borderId="5" xfId="1" applyFont="1" applyBorder="1">
      <alignment vertical="center"/>
    </xf>
    <xf numFmtId="0" fontId="10" fillId="0" borderId="5" xfId="1" applyFont="1" applyBorder="1">
      <alignment vertical="center"/>
    </xf>
    <xf numFmtId="0" fontId="20" fillId="0" borderId="0" xfId="1" applyFont="1">
      <alignment vertical="center"/>
    </xf>
    <xf numFmtId="0" fontId="2" fillId="0" borderId="0" xfId="1" quotePrefix="1" applyFont="1">
      <alignment vertical="center"/>
    </xf>
    <xf numFmtId="0" fontId="15" fillId="0" borderId="0" xfId="1" applyFont="1">
      <alignment vertical="center"/>
    </xf>
    <xf numFmtId="0" fontId="2" fillId="0" borderId="5" xfId="1" quotePrefix="1" applyFont="1" applyBorder="1">
      <alignment vertical="center"/>
    </xf>
    <xf numFmtId="0" fontId="2" fillId="0" borderId="5" xfId="1" applyFont="1" applyBorder="1">
      <alignment vertical="center"/>
    </xf>
    <xf numFmtId="0" fontId="17" fillId="0" borderId="0" xfId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2" xfId="0" quotePrefix="1" applyBorder="1">
      <alignment vertical="center"/>
    </xf>
    <xf numFmtId="0" fontId="2" fillId="0" borderId="3" xfId="0" applyFont="1" applyBorder="1">
      <alignment vertical="center"/>
    </xf>
    <xf numFmtId="1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quotePrefix="1" applyFont="1" applyAlignment="1">
      <alignment horizontal="center" vertical="center"/>
    </xf>
    <xf numFmtId="0" fontId="0" fillId="0" borderId="0" xfId="0" quotePrefix="1">
      <alignment vertical="center"/>
    </xf>
    <xf numFmtId="0" fontId="2" fillId="0" borderId="0" xfId="0" quotePrefix="1" applyFont="1">
      <alignment vertical="center"/>
    </xf>
    <xf numFmtId="176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0" borderId="12" xfId="0" applyBorder="1" applyAlignment="1"/>
    <xf numFmtId="0" fontId="3" fillId="0" borderId="9" xfId="0" applyFont="1" applyBorder="1">
      <alignment vertical="center"/>
    </xf>
    <xf numFmtId="0" fontId="24" fillId="0" borderId="0" xfId="0" applyFont="1">
      <alignment vertical="center"/>
    </xf>
    <xf numFmtId="0" fontId="3" fillId="0" borderId="5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8" xfId="0" applyBorder="1" applyAlignment="1"/>
    <xf numFmtId="0" fontId="2" fillId="0" borderId="0" xfId="1" applyFont="1" applyAlignment="1">
      <alignment vertical="center" shrinkToFit="1"/>
    </xf>
    <xf numFmtId="0" fontId="0" fillId="0" borderId="0" xfId="0" applyAlignment="1">
      <alignment vertical="center" shrinkToFit="1"/>
    </xf>
    <xf numFmtId="1" fontId="10" fillId="0" borderId="5" xfId="0" applyNumberFormat="1" applyFont="1" applyBorder="1" applyAlignment="1">
      <alignment horizontal="center" vertical="center"/>
    </xf>
    <xf numFmtId="176" fontId="2" fillId="0" borderId="12" xfId="0" applyNumberFormat="1" applyFont="1" applyBorder="1">
      <alignment vertical="center"/>
    </xf>
    <xf numFmtId="0" fontId="0" fillId="0" borderId="10" xfId="0" applyBorder="1" applyAlignment="1"/>
    <xf numFmtId="0" fontId="2" fillId="0" borderId="5" xfId="1" applyFont="1" applyBorder="1" applyAlignment="1">
      <alignment horizontal="center" vertical="center"/>
    </xf>
    <xf numFmtId="0" fontId="17" fillId="0" borderId="5" xfId="1" applyFont="1" applyBorder="1">
      <alignment vertical="center"/>
    </xf>
    <xf numFmtId="0" fontId="3" fillId="0" borderId="0" xfId="0" applyFont="1" applyAlignment="1">
      <alignment horizontal="right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20" xfId="0" applyBorder="1">
      <alignment vertical="center"/>
    </xf>
    <xf numFmtId="0" fontId="0" fillId="0" borderId="22" xfId="0" applyBorder="1">
      <alignment vertical="center"/>
    </xf>
    <xf numFmtId="0" fontId="0" fillId="0" borderId="25" xfId="0" applyBorder="1">
      <alignment vertical="center"/>
    </xf>
    <xf numFmtId="0" fontId="2" fillId="0" borderId="8" xfId="1" applyFont="1" applyBorder="1">
      <alignment vertical="center"/>
    </xf>
    <xf numFmtId="176" fontId="0" fillId="0" borderId="9" xfId="0" applyNumberFormat="1" applyBorder="1">
      <alignment vertical="center"/>
    </xf>
    <xf numFmtId="176" fontId="0" fillId="0" borderId="5" xfId="0" applyNumberFormat="1" applyBorder="1">
      <alignment vertical="center"/>
    </xf>
    <xf numFmtId="176" fontId="0" fillId="0" borderId="11" xfId="0" applyNumberFormat="1" applyBorder="1">
      <alignment vertical="center"/>
    </xf>
    <xf numFmtId="38" fontId="2" fillId="0" borderId="0" xfId="2" applyFont="1" applyAlignment="1">
      <alignment horizontal="center" vertical="center"/>
    </xf>
    <xf numFmtId="38" fontId="2" fillId="0" borderId="0" xfId="2" applyFont="1" applyAlignment="1">
      <alignment vertical="center"/>
    </xf>
    <xf numFmtId="176" fontId="2" fillId="0" borderId="9" xfId="0" applyNumberFormat="1" applyFont="1" applyBorder="1" applyAlignment="1">
      <alignment horizontal="right" vertical="center"/>
    </xf>
    <xf numFmtId="0" fontId="17" fillId="0" borderId="8" xfId="0" applyFont="1" applyBorder="1" applyAlignment="1"/>
    <xf numFmtId="0" fontId="3" fillId="0" borderId="5" xfId="0" applyFont="1" applyBorder="1" applyAlignment="1"/>
    <xf numFmtId="177" fontId="2" fillId="0" borderId="0" xfId="0" applyNumberFormat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0" fontId="3" fillId="0" borderId="0" xfId="0" applyFont="1" applyAlignment="1"/>
    <xf numFmtId="0" fontId="2" fillId="0" borderId="5" xfId="0" applyFont="1" applyBorder="1" applyAlignment="1"/>
    <xf numFmtId="0" fontId="12" fillId="0" borderId="5" xfId="1" applyFont="1" applyBorder="1">
      <alignment vertical="center"/>
    </xf>
    <xf numFmtId="176" fontId="2" fillId="0" borderId="8" xfId="0" applyNumberFormat="1" applyFont="1" applyBorder="1">
      <alignment vertical="center"/>
    </xf>
    <xf numFmtId="0" fontId="2" fillId="0" borderId="0" xfId="1" applyFont="1" applyAlignment="1">
      <alignment horizontal="center" vertical="center" shrinkToFit="1"/>
    </xf>
    <xf numFmtId="0" fontId="0" fillId="0" borderId="8" xfId="0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3" fillId="0" borderId="8" xfId="1" applyFont="1" applyBorder="1">
      <alignment vertical="center"/>
    </xf>
    <xf numFmtId="0" fontId="34" fillId="0" borderId="0" xfId="3">
      <alignment vertical="center"/>
    </xf>
    <xf numFmtId="176" fontId="2" fillId="0" borderId="0" xfId="0" applyNumberFormat="1" applyFont="1" applyAlignment="1">
      <alignment horizontal="right"/>
    </xf>
    <xf numFmtId="0" fontId="0" fillId="0" borderId="0" xfId="0" applyAlignment="1">
      <alignment vertical="top"/>
    </xf>
    <xf numFmtId="0" fontId="0" fillId="0" borderId="6" xfId="0" applyBorder="1" applyAlignment="1"/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30" fillId="0" borderId="0" xfId="0" applyFont="1" applyAlignment="1">
      <alignment horizontal="center"/>
    </xf>
    <xf numFmtId="0" fontId="30" fillId="0" borderId="9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2" fillId="0" borderId="8" xfId="0" quotePrefix="1" applyFont="1" applyBorder="1" applyAlignment="1">
      <alignment horizontal="center"/>
    </xf>
    <xf numFmtId="0" fontId="2" fillId="0" borderId="0" xfId="0" quotePrefix="1" applyFont="1" applyAlignment="1">
      <alignment horizontal="center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3" xfId="0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1" fontId="2" fillId="2" borderId="1" xfId="0" applyNumberFormat="1" applyFont="1" applyFill="1" applyBorder="1" applyAlignment="1" applyProtection="1">
      <alignment horizontal="right" vertical="center"/>
      <protection locked="0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0" fillId="2" borderId="1" xfId="0" quotePrefix="1" applyFill="1" applyBorder="1" applyAlignment="1" applyProtection="1">
      <alignment horizontal="right"/>
      <protection locked="0"/>
    </xf>
    <xf numFmtId="0" fontId="0" fillId="2" borderId="2" xfId="0" quotePrefix="1" applyFill="1" applyBorder="1" applyAlignment="1" applyProtection="1">
      <alignment horizontal="right"/>
      <protection locked="0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1" fontId="2" fillId="2" borderId="2" xfId="0" applyNumberFormat="1" applyFont="1" applyFill="1" applyBorder="1" applyAlignment="1" applyProtection="1">
      <alignment horizontal="center" vertical="center"/>
      <protection locked="0"/>
    </xf>
    <xf numFmtId="1" fontId="2" fillId="2" borderId="3" xfId="0" applyNumberFormat="1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2" xfId="0" applyNumberFormat="1" applyFont="1" applyFill="1" applyBorder="1" applyAlignment="1" applyProtection="1">
      <alignment horizontal="center" vertical="center"/>
      <protection locked="0"/>
    </xf>
    <xf numFmtId="177" fontId="2" fillId="2" borderId="3" xfId="0" applyNumberFormat="1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 applyProtection="1">
      <alignment horizontal="center"/>
      <protection locked="0"/>
    </xf>
    <xf numFmtId="0" fontId="17" fillId="2" borderId="2" xfId="0" applyFont="1" applyFill="1" applyBorder="1" applyAlignment="1" applyProtection="1">
      <alignment horizontal="center"/>
      <protection locked="0"/>
    </xf>
    <xf numFmtId="0" fontId="17" fillId="2" borderId="3" xfId="0" applyFont="1" applyFill="1" applyBorder="1" applyAlignment="1" applyProtection="1">
      <alignment horizont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6" fontId="2" fillId="2" borderId="2" xfId="0" applyNumberFormat="1" applyFont="1" applyFill="1" applyBorder="1" applyAlignment="1" applyProtection="1">
      <alignment horizontal="center" vertical="center"/>
      <protection locked="0"/>
    </xf>
    <xf numFmtId="176" fontId="2" fillId="2" borderId="3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2" xfId="0" applyNumberFormat="1" applyFill="1" applyBorder="1" applyAlignment="1" applyProtection="1">
      <alignment horizontal="center" vertical="center"/>
      <protection locked="0"/>
    </xf>
    <xf numFmtId="1" fontId="0" fillId="2" borderId="3" xfId="0" applyNumberFormat="1" applyFill="1" applyBorder="1" applyAlignment="1" applyProtection="1">
      <alignment horizontal="center" vertical="center"/>
      <protection locked="0"/>
    </xf>
    <xf numFmtId="177" fontId="2" fillId="0" borderId="1" xfId="0" applyNumberFormat="1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12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76" fontId="2" fillId="2" borderId="6" xfId="0" applyNumberFormat="1" applyFont="1" applyFill="1" applyBorder="1" applyAlignment="1" applyProtection="1">
      <alignment horizontal="center" vertical="center"/>
      <protection locked="0"/>
    </xf>
    <xf numFmtId="176" fontId="2" fillId="2" borderId="12" xfId="0" applyNumberFormat="1" applyFont="1" applyFill="1" applyBorder="1" applyAlignment="1" applyProtection="1">
      <alignment horizontal="center" vertical="center"/>
      <protection locked="0"/>
    </xf>
    <xf numFmtId="176" fontId="2" fillId="2" borderId="7" xfId="0" applyNumberFormat="1" applyFont="1" applyFill="1" applyBorder="1" applyAlignment="1" applyProtection="1">
      <alignment horizontal="center" vertical="center"/>
      <protection locked="0"/>
    </xf>
    <xf numFmtId="176" fontId="2" fillId="0" borderId="1" xfId="0" applyNumberFormat="1" applyFont="1" applyBorder="1" applyAlignment="1">
      <alignment horizontal="center"/>
    </xf>
    <xf numFmtId="176" fontId="2" fillId="0" borderId="2" xfId="0" applyNumberFormat="1" applyFont="1" applyBorder="1" applyAlignment="1">
      <alignment horizontal="center"/>
    </xf>
    <xf numFmtId="176" fontId="2" fillId="0" borderId="3" xfId="0" applyNumberFormat="1" applyFont="1" applyBorder="1" applyAlignment="1">
      <alignment horizontal="center"/>
    </xf>
    <xf numFmtId="0" fontId="17" fillId="2" borderId="6" xfId="0" applyFont="1" applyFill="1" applyBorder="1" applyAlignment="1" applyProtection="1">
      <alignment horizontal="center"/>
      <protection locked="0"/>
    </xf>
    <xf numFmtId="0" fontId="17" fillId="2" borderId="12" xfId="0" applyFont="1" applyFill="1" applyBorder="1" applyAlignment="1" applyProtection="1">
      <alignment horizont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176" fontId="0" fillId="0" borderId="8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5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3" fillId="0" borderId="0" xfId="1" applyFont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7" fontId="2" fillId="0" borderId="12" xfId="0" applyNumberFormat="1" applyFont="1" applyBorder="1" applyAlignment="1">
      <alignment horizontal="center" vertical="center"/>
    </xf>
    <xf numFmtId="177" fontId="2" fillId="0" borderId="5" xfId="0" applyNumberFormat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177" fontId="2" fillId="0" borderId="0" xfId="1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176" fontId="2" fillId="0" borderId="12" xfId="1" applyNumberFormat="1" applyFont="1" applyBorder="1" applyAlignment="1">
      <alignment horizontal="center" vertical="center"/>
    </xf>
    <xf numFmtId="176" fontId="2" fillId="0" borderId="14" xfId="0" applyNumberFormat="1" applyFont="1" applyBorder="1" applyAlignment="1">
      <alignment horizontal="right"/>
    </xf>
    <xf numFmtId="176" fontId="2" fillId="0" borderId="0" xfId="0" applyNumberFormat="1" applyFont="1" applyAlignment="1">
      <alignment horizontal="right"/>
    </xf>
    <xf numFmtId="0" fontId="3" fillId="0" borderId="5" xfId="1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7" fillId="0" borderId="0" xfId="1" applyAlignment="1">
      <alignment horizontal="center" vertical="center"/>
    </xf>
    <xf numFmtId="176" fontId="2" fillId="0" borderId="5" xfId="1" applyNumberFormat="1" applyFont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176" fontId="2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176" fontId="10" fillId="0" borderId="1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176" fontId="2" fillId="0" borderId="8" xfId="0" applyNumberFormat="1" applyFont="1" applyBorder="1" applyAlignment="1">
      <alignment horizontal="right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176" fontId="2" fillId="0" borderId="2" xfId="0" applyNumberFormat="1" applyFont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76" fontId="2" fillId="0" borderId="15" xfId="0" applyNumberFormat="1" applyFont="1" applyBorder="1" applyAlignment="1">
      <alignment horizontal="right"/>
    </xf>
    <xf numFmtId="176" fontId="2" fillId="0" borderId="13" xfId="0" applyNumberFormat="1" applyFont="1" applyBorder="1" applyAlignment="1">
      <alignment horizontal="right"/>
    </xf>
    <xf numFmtId="176" fontId="2" fillId="0" borderId="12" xfId="0" applyNumberFormat="1" applyFont="1" applyBorder="1" applyAlignment="1">
      <alignment horizontal="right"/>
    </xf>
    <xf numFmtId="176" fontId="2" fillId="0" borderId="1" xfId="0" applyNumberFormat="1" applyFont="1" applyBorder="1" applyAlignment="1">
      <alignment horizontal="right"/>
    </xf>
    <xf numFmtId="176" fontId="2" fillId="0" borderId="3" xfId="0" applyNumberFormat="1" applyFont="1" applyBorder="1" applyAlignment="1">
      <alignment horizontal="right"/>
    </xf>
    <xf numFmtId="0" fontId="2" fillId="0" borderId="1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76" fontId="2" fillId="0" borderId="5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/>
    </xf>
    <xf numFmtId="177" fontId="2" fillId="0" borderId="3" xfId="0" applyNumberFormat="1" applyFont="1" applyBorder="1" applyAlignment="1">
      <alignment horizontal="center"/>
    </xf>
    <xf numFmtId="38" fontId="17" fillId="0" borderId="0" xfId="2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7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right" vertical="center"/>
    </xf>
    <xf numFmtId="0" fontId="8" fillId="0" borderId="2" xfId="1" applyFont="1" applyBorder="1" applyAlignment="1">
      <alignment horizontal="right" vertical="center"/>
    </xf>
    <xf numFmtId="0" fontId="0" fillId="0" borderId="6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47" fontId="2" fillId="0" borderId="1" xfId="0" quotePrefix="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3" fillId="0" borderId="0" xfId="0" applyFont="1" applyAlignment="1">
      <alignment horizontal="center" vertical="center"/>
    </xf>
    <xf numFmtId="176" fontId="2" fillId="0" borderId="5" xfId="1" quotePrefix="1" applyNumberFormat="1" applyFont="1" applyBorder="1" applyAlignment="1">
      <alignment horizontal="center" vertical="center"/>
    </xf>
    <xf numFmtId="0" fontId="2" fillId="0" borderId="5" xfId="1" quotePrefix="1" applyFont="1" applyBorder="1" applyAlignment="1">
      <alignment horizontal="center" vertical="center"/>
    </xf>
    <xf numFmtId="176" fontId="2" fillId="0" borderId="12" xfId="1" quotePrefix="1" applyNumberFormat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/>
    </xf>
    <xf numFmtId="176" fontId="2" fillId="0" borderId="9" xfId="0" applyNumberFormat="1" applyFont="1" applyBorder="1" applyAlignment="1">
      <alignment horizontal="center"/>
    </xf>
    <xf numFmtId="176" fontId="2" fillId="0" borderId="0" xfId="1" quotePrefix="1" applyNumberFormat="1" applyFont="1" applyAlignment="1">
      <alignment horizontal="center" vertical="center"/>
    </xf>
    <xf numFmtId="178" fontId="2" fillId="0" borderId="5" xfId="1" quotePrefix="1" applyNumberFormat="1" applyFont="1" applyBorder="1" applyAlignment="1">
      <alignment horizontal="center" vertical="center"/>
    </xf>
    <xf numFmtId="2" fontId="2" fillId="0" borderId="12" xfId="1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3" fillId="0" borderId="0" xfId="1" quotePrefix="1" applyFont="1" applyAlignment="1">
      <alignment horizontal="center" vertical="center"/>
    </xf>
    <xf numFmtId="0" fontId="0" fillId="0" borderId="6" xfId="1" applyFont="1" applyBorder="1" applyAlignment="1">
      <alignment horizontal="center" vertical="center"/>
    </xf>
    <xf numFmtId="0" fontId="7" fillId="0" borderId="12" xfId="1" applyBorder="1" applyAlignment="1">
      <alignment horizontal="center" vertical="center"/>
    </xf>
    <xf numFmtId="0" fontId="7" fillId="0" borderId="7" xfId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2" fontId="2" fillId="0" borderId="5" xfId="1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176" fontId="2" fillId="0" borderId="11" xfId="0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76" fontId="2" fillId="0" borderId="10" xfId="0" applyNumberFormat="1" applyFont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right" vertical="center"/>
    </xf>
    <xf numFmtId="176" fontId="2" fillId="0" borderId="24" xfId="0" applyNumberFormat="1" applyFont="1" applyBorder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176" fontId="2" fillId="0" borderId="23" xfId="0" applyNumberFormat="1" applyFont="1" applyBorder="1" applyAlignment="1">
      <alignment horizontal="right" vertical="center"/>
    </xf>
    <xf numFmtId="176" fontId="2" fillId="0" borderId="26" xfId="0" applyNumberFormat="1" applyFont="1" applyBorder="1" applyAlignment="1">
      <alignment horizontal="right" vertical="center"/>
    </xf>
    <xf numFmtId="176" fontId="2" fillId="0" borderId="27" xfId="0" applyNumberFormat="1" applyFont="1" applyBorder="1" applyAlignment="1">
      <alignment horizontal="right" vertical="center"/>
    </xf>
    <xf numFmtId="176" fontId="2" fillId="0" borderId="28" xfId="0" applyNumberFormat="1" applyFont="1" applyBorder="1" applyAlignment="1">
      <alignment horizontal="right" vertical="center"/>
    </xf>
    <xf numFmtId="176" fontId="2" fillId="0" borderId="29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18" xfId="0" applyBorder="1" applyAlignment="1">
      <alignment horizontal="center" vertical="center"/>
    </xf>
    <xf numFmtId="176" fontId="2" fillId="0" borderId="19" xfId="0" applyNumberFormat="1" applyFont="1" applyBorder="1" applyAlignment="1">
      <alignment horizontal="right" vertical="center"/>
    </xf>
    <xf numFmtId="176" fontId="2" fillId="0" borderId="18" xfId="0" applyNumberFormat="1" applyFont="1" applyBorder="1" applyAlignment="1">
      <alignment horizontal="right" vertical="center"/>
    </xf>
    <xf numFmtId="176" fontId="2" fillId="0" borderId="20" xfId="0" applyNumberFormat="1" applyFont="1" applyBorder="1" applyAlignment="1">
      <alignment horizontal="right" vertical="center"/>
    </xf>
    <xf numFmtId="176" fontId="2" fillId="0" borderId="21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76" fontId="2" fillId="0" borderId="1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176" fontId="2" fillId="0" borderId="6" xfId="0" applyNumberFormat="1" applyFont="1" applyBorder="1" applyAlignment="1">
      <alignment horizontal="right" vertical="center"/>
    </xf>
    <xf numFmtId="176" fontId="2" fillId="0" borderId="12" xfId="0" applyNumberFormat="1" applyFont="1" applyBorder="1" applyAlignment="1">
      <alignment horizontal="right" vertical="center"/>
    </xf>
    <xf numFmtId="176" fontId="2" fillId="0" borderId="7" xfId="0" applyNumberFormat="1" applyFont="1" applyBorder="1" applyAlignment="1">
      <alignment horizontal="right" vertical="center"/>
    </xf>
    <xf numFmtId="0" fontId="28" fillId="0" borderId="8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0" fillId="0" borderId="0" xfId="1" applyFont="1" applyAlignment="1">
      <alignment horizontal="center" vertical="center"/>
    </xf>
    <xf numFmtId="2" fontId="2" fillId="0" borderId="0" xfId="0" applyNumberFormat="1" applyFont="1" applyAlignment="1">
      <alignment horizontal="center"/>
    </xf>
  </cellXfs>
  <cellStyles count="4">
    <cellStyle name="ハイパーリンク" xfId="3" builtinId="8"/>
    <cellStyle name="桁区切り" xfId="2" builtinId="6"/>
    <cellStyle name="標準" xfId="0" builtinId="0"/>
    <cellStyle name="標準 2" xfId="1" xr:uid="{8E0747D7-A74F-4653-B57C-390658CA8266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8" Type="http://schemas.microsoft.com/office/2017/10/relationships/person" Target="persons/person3.xml"/><Relationship Id="rId3" Type="http://schemas.openxmlformats.org/officeDocument/2006/relationships/worksheet" Target="worksheets/sheet3.xml"/><Relationship Id="rId21" Type="http://schemas.microsoft.com/office/2017/10/relationships/person" Target="persons/person6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microsoft.com/office/2017/10/relationships/person" Target="persons/person2.xml"/><Relationship Id="rId2" Type="http://schemas.openxmlformats.org/officeDocument/2006/relationships/worksheet" Target="worksheets/sheet2.xml"/><Relationship Id="rId16" Type="http://schemas.microsoft.com/office/2017/10/relationships/person" Target="persons/person1.xml"/><Relationship Id="rId20" Type="http://schemas.microsoft.com/office/2017/10/relationships/person" Target="persons/person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10/relationships/person" Target="persons/person0.xml"/><Relationship Id="rId10" Type="http://schemas.openxmlformats.org/officeDocument/2006/relationships/sharedStrings" Target="sharedStrings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10/relationships/person" Target="persons/person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47333</xdr:colOff>
      <xdr:row>5</xdr:row>
      <xdr:rowOff>95603</xdr:rowOff>
    </xdr:from>
    <xdr:to>
      <xdr:col>33</xdr:col>
      <xdr:colOff>33198</xdr:colOff>
      <xdr:row>5</xdr:row>
      <xdr:rowOff>95603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7A5D2B62-C182-17B4-6299-EC3C72D5E1A6}"/>
            </a:ext>
          </a:extLst>
        </xdr:cNvPr>
        <xdr:cNvCxnSpPr/>
      </xdr:nvCxnSpPr>
      <xdr:spPr>
        <a:xfrm>
          <a:off x="7362533" y="1467203"/>
          <a:ext cx="214465" cy="0"/>
        </a:xfrm>
        <a:prstGeom prst="line">
          <a:avLst/>
        </a:prstGeom>
        <a:ln w="12700"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112102</xdr:colOff>
      <xdr:row>5</xdr:row>
      <xdr:rowOff>95603</xdr:rowOff>
    </xdr:from>
    <xdr:to>
      <xdr:col>32</xdr:col>
      <xdr:colOff>46547</xdr:colOff>
      <xdr:row>5</xdr:row>
      <xdr:rowOff>95603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201090E-9A6D-46CC-919B-BF4221026973}"/>
            </a:ext>
          </a:extLst>
        </xdr:cNvPr>
        <xdr:cNvCxnSpPr/>
      </xdr:nvCxnSpPr>
      <xdr:spPr>
        <a:xfrm>
          <a:off x="6970102" y="1467203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31</xdr:col>
      <xdr:colOff>19214</xdr:colOff>
      <xdr:row>7</xdr:row>
      <xdr:rowOff>208565</xdr:rowOff>
    </xdr:from>
    <xdr:ext cx="285527" cy="71141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FCD89E0-816F-4E2E-BDCE-46859D342C99}"/>
            </a:ext>
          </a:extLst>
        </xdr:cNvPr>
        <xdr:cNvSpPr txBox="1"/>
      </xdr:nvSpPr>
      <xdr:spPr>
        <a:xfrm rot="17160000">
          <a:off x="6995575" y="2343073"/>
          <a:ext cx="71141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 i="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twoCellAnchor editAs="oneCell">
    <xdr:from>
      <xdr:col>24</xdr:col>
      <xdr:colOff>209006</xdr:colOff>
      <xdr:row>5</xdr:row>
      <xdr:rowOff>94966</xdr:rowOff>
    </xdr:from>
    <xdr:to>
      <xdr:col>29</xdr:col>
      <xdr:colOff>139337</xdr:colOff>
      <xdr:row>5</xdr:row>
      <xdr:rowOff>94966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40833B48-7C17-47F6-99AE-729235BC659D}"/>
            </a:ext>
          </a:extLst>
        </xdr:cNvPr>
        <xdr:cNvCxnSpPr/>
      </xdr:nvCxnSpPr>
      <xdr:spPr>
        <a:xfrm>
          <a:off x="5695406" y="1466566"/>
          <a:ext cx="1073331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113936</xdr:colOff>
      <xdr:row>5</xdr:row>
      <xdr:rowOff>95792</xdr:rowOff>
    </xdr:from>
    <xdr:to>
      <xdr:col>26</xdr:col>
      <xdr:colOff>113936</xdr:colOff>
      <xdr:row>14</xdr:row>
      <xdr:rowOff>89680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77D3586-2D47-4E50-94FF-50321DB41375}"/>
            </a:ext>
          </a:extLst>
        </xdr:cNvPr>
        <xdr:cNvCxnSpPr/>
      </xdr:nvCxnSpPr>
      <xdr:spPr>
        <a:xfrm>
          <a:off x="6057536" y="1467392"/>
          <a:ext cx="0" cy="205128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21771</xdr:colOff>
      <xdr:row>14</xdr:row>
      <xdr:rowOff>211232</xdr:rowOff>
    </xdr:from>
    <xdr:to>
      <xdr:col>27</xdr:col>
      <xdr:colOff>39188</xdr:colOff>
      <xdr:row>14</xdr:row>
      <xdr:rowOff>211232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BA1B1774-2453-42A4-A54C-06806A9FBB69}"/>
            </a:ext>
          </a:extLst>
        </xdr:cNvPr>
        <xdr:cNvCxnSpPr/>
      </xdr:nvCxnSpPr>
      <xdr:spPr>
        <a:xfrm>
          <a:off x="5736771" y="3640232"/>
          <a:ext cx="47461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27</xdr:col>
      <xdr:colOff>88822</xdr:colOff>
      <xdr:row>15</xdr:row>
      <xdr:rowOff>204460</xdr:rowOff>
    </xdr:from>
    <xdr:ext cx="349135" cy="224998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7D93F6A2-13DE-401A-9741-459827CD6BCD}"/>
            </a:ext>
          </a:extLst>
        </xdr:cNvPr>
        <xdr:cNvSpPr txBox="1"/>
      </xdr:nvSpPr>
      <xdr:spPr>
        <a:xfrm>
          <a:off x="6319805" y="3896894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174454</xdr:colOff>
      <xdr:row>15</xdr:row>
      <xdr:rowOff>205482</xdr:rowOff>
    </xdr:from>
    <xdr:to>
      <xdr:col>29</xdr:col>
      <xdr:colOff>180900</xdr:colOff>
      <xdr:row>15</xdr:row>
      <xdr:rowOff>205482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A050B6B0-7EF3-4C8D-8EF5-98A73E8C34BE}"/>
            </a:ext>
          </a:extLst>
        </xdr:cNvPr>
        <xdr:cNvCxnSpPr/>
      </xdr:nvCxnSpPr>
      <xdr:spPr>
        <a:xfrm>
          <a:off x="6405437" y="3897916"/>
          <a:ext cx="468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172052</xdr:colOff>
      <xdr:row>15</xdr:row>
      <xdr:rowOff>66675</xdr:rowOff>
    </xdr:from>
    <xdr:to>
      <xdr:col>27</xdr:col>
      <xdr:colOff>172052</xdr:colOff>
      <xdr:row>16</xdr:row>
      <xdr:rowOff>30959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F2D87373-3E50-4CE8-A196-8D917932EE1D}"/>
            </a:ext>
          </a:extLst>
        </xdr:cNvPr>
        <xdr:cNvCxnSpPr/>
      </xdr:nvCxnSpPr>
      <xdr:spPr>
        <a:xfrm>
          <a:off x="6344252" y="3724275"/>
          <a:ext cx="0" cy="19288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143547</xdr:colOff>
      <xdr:row>5</xdr:row>
      <xdr:rowOff>96862</xdr:rowOff>
    </xdr:from>
    <xdr:to>
      <xdr:col>32</xdr:col>
      <xdr:colOff>46024</xdr:colOff>
      <xdr:row>14</xdr:row>
      <xdr:rowOff>94443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FC29FB8E-5DB3-CF63-5FDA-EFB5B0FDF37D}"/>
            </a:ext>
          </a:extLst>
        </xdr:cNvPr>
        <xdr:cNvCxnSpPr/>
      </xdr:nvCxnSpPr>
      <xdr:spPr>
        <a:xfrm flipH="1">
          <a:off x="6772947" y="1468462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177932</xdr:colOff>
      <xdr:row>15</xdr:row>
      <xdr:rowOff>57150</xdr:rowOff>
    </xdr:from>
    <xdr:to>
      <xdr:col>29</xdr:col>
      <xdr:colOff>177932</xdr:colOff>
      <xdr:row>16</xdr:row>
      <xdr:rowOff>11080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834B6906-C876-A019-4A9D-506FA9B3C889}"/>
            </a:ext>
          </a:extLst>
        </xdr:cNvPr>
        <xdr:cNvCxnSpPr/>
      </xdr:nvCxnSpPr>
      <xdr:spPr>
        <a:xfrm>
          <a:off x="6807332" y="3714750"/>
          <a:ext cx="0" cy="18253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69093</xdr:colOff>
      <xdr:row>15</xdr:row>
      <xdr:rowOff>202493</xdr:rowOff>
    </xdr:from>
    <xdr:ext cx="444352" cy="224998"/>
    <xdr:sp macro="" textlink="$T$9">
      <xdr:nvSpPr>
        <xdr:cNvPr id="3" name="テキスト ボックス 2">
          <a:extLst>
            <a:ext uri="{FF2B5EF4-FFF2-40B4-BE49-F238E27FC236}">
              <a16:creationId xmlns:a16="http://schemas.microsoft.com/office/drawing/2014/main" id="{58343286-AE61-49B4-A0B4-55D50AAE561B}"/>
            </a:ext>
          </a:extLst>
        </xdr:cNvPr>
        <xdr:cNvSpPr txBox="1"/>
      </xdr:nvSpPr>
      <xdr:spPr>
        <a:xfrm>
          <a:off x="6530853" y="389492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02039B9-AF44-4577-8EB5-B7C97DB22B4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117477</xdr:colOff>
      <xdr:row>7</xdr:row>
      <xdr:rowOff>209334</xdr:rowOff>
    </xdr:from>
    <xdr:ext cx="224998" cy="444352"/>
    <xdr:sp macro="" textlink="$T$6">
      <xdr:nvSpPr>
        <xdr:cNvPr id="16" name="テキスト ボックス 15">
          <a:extLst>
            <a:ext uri="{FF2B5EF4-FFF2-40B4-BE49-F238E27FC236}">
              <a16:creationId xmlns:a16="http://schemas.microsoft.com/office/drawing/2014/main" id="{D05684AC-E1DF-4F56-BF57-51B1A11F7900}"/>
            </a:ext>
          </a:extLst>
        </xdr:cNvPr>
        <xdr:cNvSpPr txBox="1"/>
      </xdr:nvSpPr>
      <xdr:spPr>
        <a:xfrm rot="16200000">
          <a:off x="5722800" y="214781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0739F2A-F935-4E94-A059-C464FA45A56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5.800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31</xdr:col>
      <xdr:colOff>185485</xdr:colOff>
      <xdr:row>6</xdr:row>
      <xdr:rowOff>216668</xdr:rowOff>
    </xdr:from>
    <xdr:ext cx="224998" cy="328936"/>
    <xdr:sp macro="" textlink="$T$13">
      <xdr:nvSpPr>
        <xdr:cNvPr id="18" name="テキスト ボックス 17">
          <a:extLst>
            <a:ext uri="{FF2B5EF4-FFF2-40B4-BE49-F238E27FC236}">
              <a16:creationId xmlns:a16="http://schemas.microsoft.com/office/drawing/2014/main" id="{D7E4913B-7F3F-4E1B-96A4-7F34BF9A288F}"/>
            </a:ext>
          </a:extLst>
        </xdr:cNvPr>
        <xdr:cNvSpPr txBox="1"/>
      </xdr:nvSpPr>
      <xdr:spPr>
        <a:xfrm rot="17160000">
          <a:off x="7220116" y="1640237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9ECCEB-79EE-4872-B205-BD49D7CC93E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207609</xdr:colOff>
      <xdr:row>5</xdr:row>
      <xdr:rowOff>92099</xdr:rowOff>
    </xdr:from>
    <xdr:to>
      <xdr:col>30</xdr:col>
      <xdr:colOff>111335</xdr:colOff>
      <xdr:row>14</xdr:row>
      <xdr:rowOff>94034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1D6BD35E-3F9B-B91E-03B1-011CCFB49E74}"/>
            </a:ext>
          </a:extLst>
        </xdr:cNvPr>
        <xdr:cNvCxnSpPr/>
      </xdr:nvCxnSpPr>
      <xdr:spPr>
        <a:xfrm flipH="1">
          <a:off x="6379809" y="1463699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165461</xdr:colOff>
      <xdr:row>14</xdr:row>
      <xdr:rowOff>98388</xdr:rowOff>
    </xdr:from>
    <xdr:to>
      <xdr:col>29</xdr:col>
      <xdr:colOff>171907</xdr:colOff>
      <xdr:row>14</xdr:row>
      <xdr:rowOff>206388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5E6C3819-F063-F62C-F7C9-D8FE52D07076}"/>
            </a:ext>
          </a:extLst>
        </xdr:cNvPr>
        <xdr:cNvSpPr/>
      </xdr:nvSpPr>
      <xdr:spPr>
        <a:xfrm>
          <a:off x="6337661" y="3527388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24</xdr:col>
      <xdr:colOff>87254</xdr:colOff>
      <xdr:row>9</xdr:row>
      <xdr:rowOff>64451</xdr:rowOff>
    </xdr:from>
    <xdr:ext cx="224998" cy="361959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7ED8FE85-BB88-CA73-0CC8-12D43B5713C2}"/>
            </a:ext>
          </a:extLst>
        </xdr:cNvPr>
        <xdr:cNvSpPr txBox="1"/>
      </xdr:nvSpPr>
      <xdr:spPr>
        <a:xfrm rot="16200000">
          <a:off x="5505173" y="2418932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74747</xdr:colOff>
      <xdr:row>5</xdr:row>
      <xdr:rowOff>95792</xdr:rowOff>
    </xdr:from>
    <xdr:to>
      <xdr:col>25</xdr:col>
      <xdr:colOff>74747</xdr:colOff>
      <xdr:row>14</xdr:row>
      <xdr:rowOff>214798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B51FB0CB-CD6E-8298-13CF-6C35B7F08A61}"/>
            </a:ext>
          </a:extLst>
        </xdr:cNvPr>
        <xdr:cNvCxnSpPr/>
      </xdr:nvCxnSpPr>
      <xdr:spPr>
        <a:xfrm>
          <a:off x="5789747" y="1467392"/>
          <a:ext cx="0" cy="2176406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24</xdr:col>
      <xdr:colOff>78289</xdr:colOff>
      <xdr:row>7</xdr:row>
      <xdr:rowOff>209334</xdr:rowOff>
    </xdr:from>
    <xdr:ext cx="224998" cy="444352"/>
    <xdr:sp macro="" textlink="$T$5">
      <xdr:nvSpPr>
        <xdr:cNvPr id="36" name="テキスト ボックス 35">
          <a:extLst>
            <a:ext uri="{FF2B5EF4-FFF2-40B4-BE49-F238E27FC236}">
              <a16:creationId xmlns:a16="http://schemas.microsoft.com/office/drawing/2014/main" id="{383FF290-3DC2-3ED5-2487-243A0EAC41DA}"/>
            </a:ext>
          </a:extLst>
        </xdr:cNvPr>
        <xdr:cNvSpPr txBox="1"/>
      </xdr:nvSpPr>
      <xdr:spPr>
        <a:xfrm rot="16200000">
          <a:off x="5455012" y="214781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AFBE514-9F7D-492E-9CA5-B9FAD3C28E95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43543</xdr:colOff>
      <xdr:row>14</xdr:row>
      <xdr:rowOff>93666</xdr:rowOff>
    </xdr:from>
    <xdr:to>
      <xdr:col>27</xdr:col>
      <xdr:colOff>39188</xdr:colOff>
      <xdr:row>14</xdr:row>
      <xdr:rowOff>93666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4B994858-F846-2A98-8A91-6A8B72210D0B}"/>
            </a:ext>
          </a:extLst>
        </xdr:cNvPr>
        <xdr:cNvCxnSpPr/>
      </xdr:nvCxnSpPr>
      <xdr:spPr>
        <a:xfrm>
          <a:off x="5987143" y="3522666"/>
          <a:ext cx="224245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113936</xdr:colOff>
      <xdr:row>14</xdr:row>
      <xdr:rowOff>89680</xdr:rowOff>
    </xdr:from>
    <xdr:to>
      <xdr:col>26</xdr:col>
      <xdr:colOff>113936</xdr:colOff>
      <xdr:row>14</xdr:row>
      <xdr:rowOff>211600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2DD42260-D197-B987-94E2-A346207218DC}"/>
            </a:ext>
          </a:extLst>
        </xdr:cNvPr>
        <xdr:cNvCxnSpPr/>
      </xdr:nvCxnSpPr>
      <xdr:spPr>
        <a:xfrm>
          <a:off x="6057536" y="3518680"/>
          <a:ext cx="0" cy="12192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25</xdr:col>
      <xdr:colOff>94617</xdr:colOff>
      <xdr:row>13</xdr:row>
      <xdr:rowOff>74351</xdr:rowOff>
    </xdr:from>
    <xdr:ext cx="224998" cy="444352"/>
    <xdr:sp macro="" textlink="$T$10">
      <xdr:nvSpPr>
        <xdr:cNvPr id="45" name="テキスト ボックス 44">
          <a:extLst>
            <a:ext uri="{FF2B5EF4-FFF2-40B4-BE49-F238E27FC236}">
              <a16:creationId xmlns:a16="http://schemas.microsoft.com/office/drawing/2014/main" id="{7637034F-F6EA-4DF9-8C1F-EDC7F879FA15}"/>
            </a:ext>
          </a:extLst>
        </xdr:cNvPr>
        <xdr:cNvSpPr txBox="1"/>
      </xdr:nvSpPr>
      <xdr:spPr>
        <a:xfrm rot="16200000">
          <a:off x="5699940" y="33844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5A89530-0547-4E10-A2C0-0375AF5193A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29</xdr:col>
      <xdr:colOff>51698</xdr:colOff>
      <xdr:row>5</xdr:row>
      <xdr:rowOff>219076</xdr:rowOff>
    </xdr:from>
    <xdr:to>
      <xdr:col>31</xdr:col>
      <xdr:colOff>149837</xdr:colOff>
      <xdr:row>14</xdr:row>
      <xdr:rowOff>94443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7903FA82-83AE-3CA5-B01B-7692120C6550}"/>
            </a:ext>
          </a:extLst>
        </xdr:cNvPr>
        <xdr:cNvCxnSpPr/>
      </xdr:nvCxnSpPr>
      <xdr:spPr>
        <a:xfrm flipH="1">
          <a:off x="6681098" y="1590676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81620</xdr:colOff>
      <xdr:row>12</xdr:row>
      <xdr:rowOff>200106</xdr:rowOff>
    </xdr:from>
    <xdr:to>
      <xdr:col>29</xdr:col>
      <xdr:colOff>156754</xdr:colOff>
      <xdr:row>12</xdr:row>
      <xdr:rowOff>200106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1D59DAA7-EF33-925C-0C08-2DE135078DDC}"/>
            </a:ext>
          </a:extLst>
        </xdr:cNvPr>
        <xdr:cNvCxnSpPr/>
      </xdr:nvCxnSpPr>
      <xdr:spPr>
        <a:xfrm>
          <a:off x="6482420" y="3171906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181769</xdr:colOff>
      <xdr:row>11</xdr:row>
      <xdr:rowOff>86894</xdr:rowOff>
    </xdr:from>
    <xdr:to>
      <xdr:col>30</xdr:col>
      <xdr:colOff>26126</xdr:colOff>
      <xdr:row>11</xdr:row>
      <xdr:rowOff>86894</xdr:rowOff>
    </xdr:to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40E81F18-A419-E1FE-DA5E-50BF24C794CD}"/>
            </a:ext>
          </a:extLst>
        </xdr:cNvPr>
        <xdr:cNvCxnSpPr/>
      </xdr:nvCxnSpPr>
      <xdr:spPr>
        <a:xfrm>
          <a:off x="6582569" y="2830094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46786</xdr:colOff>
      <xdr:row>9</xdr:row>
      <xdr:rowOff>195752</xdr:rowOff>
    </xdr:from>
    <xdr:to>
      <xdr:col>30</xdr:col>
      <xdr:colOff>121920</xdr:colOff>
      <xdr:row>9</xdr:row>
      <xdr:rowOff>195752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81B98379-13E3-8C74-EF61-FF6F92F7D19E}"/>
            </a:ext>
          </a:extLst>
        </xdr:cNvPr>
        <xdr:cNvCxnSpPr/>
      </xdr:nvCxnSpPr>
      <xdr:spPr>
        <a:xfrm>
          <a:off x="6676186" y="2481752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151289</xdr:colOff>
      <xdr:row>8</xdr:row>
      <xdr:rowOff>71654</xdr:rowOff>
    </xdr:from>
    <xdr:to>
      <xdr:col>31</xdr:col>
      <xdr:colOff>4173</xdr:colOff>
      <xdr:row>8</xdr:row>
      <xdr:rowOff>71654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63814463-D4BB-2D36-5351-127A6001C5AF}"/>
            </a:ext>
          </a:extLst>
        </xdr:cNvPr>
        <xdr:cNvCxnSpPr/>
      </xdr:nvCxnSpPr>
      <xdr:spPr>
        <a:xfrm>
          <a:off x="6780689" y="2129054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29369</xdr:colOff>
      <xdr:row>6</xdr:row>
      <xdr:rowOff>182688</xdr:rowOff>
    </xdr:from>
    <xdr:to>
      <xdr:col>31</xdr:col>
      <xdr:colOff>104503</xdr:colOff>
      <xdr:row>6</xdr:row>
      <xdr:rowOff>182688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F31EA116-D791-A3A6-63A2-1D17A6B4C9BF}"/>
            </a:ext>
          </a:extLst>
        </xdr:cNvPr>
        <xdr:cNvCxnSpPr/>
      </xdr:nvCxnSpPr>
      <xdr:spPr>
        <a:xfrm>
          <a:off x="6887369" y="1782888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68149</xdr:colOff>
      <xdr:row>5</xdr:row>
      <xdr:rowOff>213577</xdr:rowOff>
    </xdr:from>
    <xdr:to>
      <xdr:col>32</xdr:col>
      <xdr:colOff>19050</xdr:colOff>
      <xdr:row>5</xdr:row>
      <xdr:rowOff>213577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4345A30A-90BE-951A-04DC-CD3BC0C4268E}"/>
            </a:ext>
          </a:extLst>
        </xdr:cNvPr>
        <xdr:cNvCxnSpPr/>
      </xdr:nvCxnSpPr>
      <xdr:spPr>
        <a:xfrm>
          <a:off x="6926149" y="1585177"/>
          <a:ext cx="40810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156179</xdr:colOff>
      <xdr:row>3</xdr:row>
      <xdr:rowOff>48741</xdr:rowOff>
    </xdr:from>
    <xdr:ext cx="444352" cy="224998"/>
    <xdr:sp macro="" textlink="$T$7">
      <xdr:nvSpPr>
        <xdr:cNvPr id="2" name="テキスト ボックス 1">
          <a:extLst>
            <a:ext uri="{FF2B5EF4-FFF2-40B4-BE49-F238E27FC236}">
              <a16:creationId xmlns:a16="http://schemas.microsoft.com/office/drawing/2014/main" id="{09DE70CC-380D-F666-A002-39C8722B8D83}"/>
            </a:ext>
          </a:extLst>
        </xdr:cNvPr>
        <xdr:cNvSpPr txBox="1"/>
      </xdr:nvSpPr>
      <xdr:spPr>
        <a:xfrm>
          <a:off x="7014179" y="96314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9C965CA-F73D-431A-A5BD-0A8947BBD8B5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186794</xdr:colOff>
      <xdr:row>3</xdr:row>
      <xdr:rowOff>50707</xdr:rowOff>
    </xdr:from>
    <xdr:ext cx="336311" cy="22499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029D32D-F8CE-19B0-6383-C19489E4A017}"/>
            </a:ext>
          </a:extLst>
        </xdr:cNvPr>
        <xdr:cNvSpPr txBox="1"/>
      </xdr:nvSpPr>
      <xdr:spPr>
        <a:xfrm>
          <a:off x="6816194" y="965107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30</xdr:col>
      <xdr:colOff>117304</xdr:colOff>
      <xdr:row>4</xdr:row>
      <xdr:rowOff>110232</xdr:rowOff>
    </xdr:from>
    <xdr:to>
      <xdr:col>32</xdr:col>
      <xdr:colOff>56104</xdr:colOff>
      <xdr:row>4</xdr:row>
      <xdr:rowOff>110232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8B88CB6E-8562-7BF6-9D7E-B31D190AF7DC}"/>
            </a:ext>
          </a:extLst>
        </xdr:cNvPr>
        <xdr:cNvCxnSpPr/>
      </xdr:nvCxnSpPr>
      <xdr:spPr>
        <a:xfrm>
          <a:off x="6975304" y="1253232"/>
          <a:ext cx="396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114902</xdr:colOff>
      <xdr:row>4</xdr:row>
      <xdr:rowOff>38100</xdr:rowOff>
    </xdr:from>
    <xdr:to>
      <xdr:col>30</xdr:col>
      <xdr:colOff>114902</xdr:colOff>
      <xdr:row>5</xdr:row>
      <xdr:rowOff>2384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25A1B25B-6C6B-6773-EA8F-1AD0B5978FD8}"/>
            </a:ext>
          </a:extLst>
        </xdr:cNvPr>
        <xdr:cNvCxnSpPr/>
      </xdr:nvCxnSpPr>
      <xdr:spPr>
        <a:xfrm>
          <a:off x="6972902" y="1181100"/>
          <a:ext cx="0" cy="19288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58869</xdr:colOff>
      <xdr:row>4</xdr:row>
      <xdr:rowOff>28575</xdr:rowOff>
    </xdr:from>
    <xdr:to>
      <xdr:col>32</xdr:col>
      <xdr:colOff>58869</xdr:colOff>
      <xdr:row>4</xdr:row>
      <xdr:rowOff>211105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47B54E4E-EDA8-EE75-4FC7-B5C05D0FF228}"/>
            </a:ext>
          </a:extLst>
        </xdr:cNvPr>
        <xdr:cNvCxnSpPr/>
      </xdr:nvCxnSpPr>
      <xdr:spPr>
        <a:xfrm>
          <a:off x="7374069" y="1171575"/>
          <a:ext cx="0" cy="18253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33</xdr:col>
      <xdr:colOff>170817</xdr:colOff>
      <xdr:row>4</xdr:row>
      <xdr:rowOff>188651</xdr:rowOff>
    </xdr:from>
    <xdr:ext cx="224998" cy="444352"/>
    <xdr:sp macro="" textlink="$T$8">
      <xdr:nvSpPr>
        <xdr:cNvPr id="20" name="テキスト ボックス 19">
          <a:extLst>
            <a:ext uri="{FF2B5EF4-FFF2-40B4-BE49-F238E27FC236}">
              <a16:creationId xmlns:a16="http://schemas.microsoft.com/office/drawing/2014/main" id="{28475340-CA53-F5E6-00D9-9BB9FBF40CD5}"/>
            </a:ext>
          </a:extLst>
        </xdr:cNvPr>
        <xdr:cNvSpPr txBox="1"/>
      </xdr:nvSpPr>
      <xdr:spPr>
        <a:xfrm rot="16200000">
          <a:off x="7604940" y="14413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32</xdr:col>
      <xdr:colOff>150223</xdr:colOff>
      <xdr:row>5</xdr:row>
      <xdr:rowOff>223206</xdr:rowOff>
    </xdr:from>
    <xdr:to>
      <xdr:col>33</xdr:col>
      <xdr:colOff>145868</xdr:colOff>
      <xdr:row>5</xdr:row>
      <xdr:rowOff>223206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7D3D0A90-2CBF-F54A-1F03-ADD1A23FD197}"/>
            </a:ext>
          </a:extLst>
        </xdr:cNvPr>
        <xdr:cNvCxnSpPr/>
      </xdr:nvCxnSpPr>
      <xdr:spPr>
        <a:xfrm>
          <a:off x="7465423" y="1594806"/>
          <a:ext cx="224245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150223</xdr:colOff>
      <xdr:row>5</xdr:row>
      <xdr:rowOff>101286</xdr:rowOff>
    </xdr:from>
    <xdr:to>
      <xdr:col>33</xdr:col>
      <xdr:colOff>145868</xdr:colOff>
      <xdr:row>5</xdr:row>
      <xdr:rowOff>101286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3C7806FC-22F0-6642-3904-8A0ADE8A1D72}"/>
            </a:ext>
          </a:extLst>
        </xdr:cNvPr>
        <xdr:cNvCxnSpPr/>
      </xdr:nvCxnSpPr>
      <xdr:spPr>
        <a:xfrm>
          <a:off x="7465423" y="1472886"/>
          <a:ext cx="224245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33</xdr:col>
      <xdr:colOff>113936</xdr:colOff>
      <xdr:row>5</xdr:row>
      <xdr:rowOff>97300</xdr:rowOff>
    </xdr:from>
    <xdr:to>
      <xdr:col>33</xdr:col>
      <xdr:colOff>113936</xdr:colOff>
      <xdr:row>5</xdr:row>
      <xdr:rowOff>219220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27A256D3-CAA0-4B20-0BA0-F346FDE105CE}"/>
            </a:ext>
          </a:extLst>
        </xdr:cNvPr>
        <xdr:cNvCxnSpPr/>
      </xdr:nvCxnSpPr>
      <xdr:spPr>
        <a:xfrm>
          <a:off x="7657736" y="1468900"/>
          <a:ext cx="0" cy="12192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165430</xdr:colOff>
      <xdr:row>13</xdr:row>
      <xdr:rowOff>63348</xdr:rowOff>
    </xdr:from>
    <xdr:to>
      <xdr:col>27</xdr:col>
      <xdr:colOff>165430</xdr:colOff>
      <xdr:row>14</xdr:row>
      <xdr:rowOff>27632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107A50CB-9223-4D40-BAD5-11821A97729D}"/>
            </a:ext>
          </a:extLst>
        </xdr:cNvPr>
        <xdr:cNvCxnSpPr/>
      </xdr:nvCxnSpPr>
      <xdr:spPr>
        <a:xfrm>
          <a:off x="6427082" y="3426087"/>
          <a:ext cx="0" cy="20448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210151</xdr:colOff>
      <xdr:row>13</xdr:row>
      <xdr:rowOff>66654</xdr:rowOff>
    </xdr:from>
    <xdr:to>
      <xdr:col>27</xdr:col>
      <xdr:colOff>210151</xdr:colOff>
      <xdr:row>14</xdr:row>
      <xdr:rowOff>30938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97DD5B75-DF59-4551-A488-CEAB7D33BC3A}"/>
            </a:ext>
          </a:extLst>
        </xdr:cNvPr>
        <xdr:cNvCxnSpPr/>
      </xdr:nvCxnSpPr>
      <xdr:spPr>
        <a:xfrm>
          <a:off x="6471803" y="3429393"/>
          <a:ext cx="0" cy="20448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59295</xdr:colOff>
      <xdr:row>13</xdr:row>
      <xdr:rowOff>126851</xdr:rowOff>
    </xdr:from>
    <xdr:to>
      <xdr:col>27</xdr:col>
      <xdr:colOff>167295</xdr:colOff>
      <xdr:row>13</xdr:row>
      <xdr:rowOff>126851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24AD9489-2489-4219-A6E9-ED3486F040F7}"/>
            </a:ext>
          </a:extLst>
        </xdr:cNvPr>
        <xdr:cNvCxnSpPr/>
      </xdr:nvCxnSpPr>
      <xdr:spPr>
        <a:xfrm>
          <a:off x="6320947" y="3489590"/>
          <a:ext cx="108000" cy="0"/>
        </a:xfrm>
        <a:prstGeom prst="line">
          <a:avLst/>
        </a:prstGeom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203412</xdr:colOff>
      <xdr:row>13</xdr:row>
      <xdr:rowOff>121874</xdr:rowOff>
    </xdr:from>
    <xdr:to>
      <xdr:col>28</xdr:col>
      <xdr:colOff>79499</xdr:colOff>
      <xdr:row>13</xdr:row>
      <xdr:rowOff>121874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8F8F7171-FAB8-4B8D-B70D-AE2AA057E899}"/>
            </a:ext>
          </a:extLst>
        </xdr:cNvPr>
        <xdr:cNvCxnSpPr/>
      </xdr:nvCxnSpPr>
      <xdr:spPr>
        <a:xfrm>
          <a:off x="6465064" y="3484613"/>
          <a:ext cx="108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168484</xdr:colOff>
      <xdr:row>12</xdr:row>
      <xdr:rowOff>53406</xdr:rowOff>
    </xdr:from>
    <xdr:ext cx="444352" cy="224998"/>
    <xdr:sp macro="" textlink="$T$11">
      <xdr:nvSpPr>
        <xdr:cNvPr id="26" name="テキスト ボックス 25">
          <a:extLst>
            <a:ext uri="{FF2B5EF4-FFF2-40B4-BE49-F238E27FC236}">
              <a16:creationId xmlns:a16="http://schemas.microsoft.com/office/drawing/2014/main" id="{730EA515-E2BD-6678-1F2C-381063C18F0B}"/>
            </a:ext>
          </a:extLst>
        </xdr:cNvPr>
        <xdr:cNvSpPr txBox="1"/>
      </xdr:nvSpPr>
      <xdr:spPr>
        <a:xfrm>
          <a:off x="6198223" y="31759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00C3FDA-70F2-4576-922C-64DC8EF7F63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92787</xdr:colOff>
      <xdr:row>6</xdr:row>
      <xdr:rowOff>113166</xdr:rowOff>
    </xdr:from>
    <xdr:to>
      <xdr:col>8</xdr:col>
      <xdr:colOff>115572</xdr:colOff>
      <xdr:row>10</xdr:row>
      <xdr:rowOff>64848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42F330BD-87A4-5D2B-9DD0-E34E09814CCA}"/>
            </a:ext>
          </a:extLst>
        </xdr:cNvPr>
        <xdr:cNvCxnSpPr/>
      </xdr:nvCxnSpPr>
      <xdr:spPr>
        <a:xfrm flipH="1">
          <a:off x="1461050" y="1253385"/>
          <a:ext cx="250829" cy="86385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90057</xdr:colOff>
      <xdr:row>10</xdr:row>
      <xdr:rowOff>62890</xdr:rowOff>
    </xdr:from>
    <xdr:to>
      <xdr:col>12</xdr:col>
      <xdr:colOff>123092</xdr:colOff>
      <xdr:row>10</xdr:row>
      <xdr:rowOff>62890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30455302-5C31-9400-7684-D12B6E71503A}"/>
            </a:ext>
          </a:extLst>
        </xdr:cNvPr>
        <xdr:cNvCxnSpPr/>
      </xdr:nvCxnSpPr>
      <xdr:spPr>
        <a:xfrm>
          <a:off x="1458320" y="2115284"/>
          <a:ext cx="1173254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92787</xdr:colOff>
      <xdr:row>18</xdr:row>
      <xdr:rowOff>93810</xdr:rowOff>
    </xdr:from>
    <xdr:to>
      <xdr:col>8</xdr:col>
      <xdr:colOff>115572</xdr:colOff>
      <xdr:row>22</xdr:row>
      <xdr:rowOff>45493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0A005040-9AFA-26B1-88E5-6D2061FD8E12}"/>
            </a:ext>
          </a:extLst>
        </xdr:cNvPr>
        <xdr:cNvCxnSpPr/>
      </xdr:nvCxnSpPr>
      <xdr:spPr>
        <a:xfrm flipH="1">
          <a:off x="1461050" y="3970555"/>
          <a:ext cx="250829" cy="86385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90057</xdr:colOff>
      <xdr:row>22</xdr:row>
      <xdr:rowOff>43534</xdr:rowOff>
    </xdr:from>
    <xdr:to>
      <xdr:col>12</xdr:col>
      <xdr:colOff>123092</xdr:colOff>
      <xdr:row>22</xdr:row>
      <xdr:rowOff>43534</xdr:rowOff>
    </xdr:to>
    <xdr:cxnSp macro="">
      <xdr:nvCxnSpPr>
        <xdr:cNvPr id="148" name="直線コネクタ 147">
          <a:extLst>
            <a:ext uri="{FF2B5EF4-FFF2-40B4-BE49-F238E27FC236}">
              <a16:creationId xmlns:a16="http://schemas.microsoft.com/office/drawing/2014/main" id="{57B4E000-74CF-96A3-6C01-F2328DE1BA42}"/>
            </a:ext>
          </a:extLst>
        </xdr:cNvPr>
        <xdr:cNvCxnSpPr/>
      </xdr:nvCxnSpPr>
      <xdr:spPr>
        <a:xfrm>
          <a:off x="1458320" y="4832454"/>
          <a:ext cx="1173254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90267</xdr:colOff>
      <xdr:row>19</xdr:row>
      <xdr:rowOff>198732</xdr:rowOff>
    </xdr:from>
    <xdr:to>
      <xdr:col>11</xdr:col>
      <xdr:colOff>190500</xdr:colOff>
      <xdr:row>22</xdr:row>
      <xdr:rowOff>56297</xdr:rowOff>
    </xdr:to>
    <xdr:sp macro="" textlink="">
      <xdr:nvSpPr>
        <xdr:cNvPr id="173" name="平行四辺形 172">
          <a:extLst>
            <a:ext uri="{FF2B5EF4-FFF2-40B4-BE49-F238E27FC236}">
              <a16:creationId xmlns:a16="http://schemas.microsoft.com/office/drawing/2014/main" id="{294C815D-D72D-3E65-192B-E5E2BC198F05}"/>
            </a:ext>
          </a:extLst>
        </xdr:cNvPr>
        <xdr:cNvSpPr/>
      </xdr:nvSpPr>
      <xdr:spPr>
        <a:xfrm>
          <a:off x="1458530" y="4303520"/>
          <a:ext cx="1012408" cy="541697"/>
        </a:xfrm>
        <a:prstGeom prst="parallelogram">
          <a:avLst>
            <a:gd name="adj" fmla="val 29541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41</xdr:col>
      <xdr:colOff>152399</xdr:colOff>
      <xdr:row>30</xdr:row>
      <xdr:rowOff>195942</xdr:rowOff>
    </xdr:from>
    <xdr:to>
      <xdr:col>47</xdr:col>
      <xdr:colOff>184799</xdr:colOff>
      <xdr:row>32</xdr:row>
      <xdr:rowOff>62742</xdr:rowOff>
    </xdr:to>
    <xdr:sp macro="" textlink="">
      <xdr:nvSpPr>
        <xdr:cNvPr id="106" name="正方形/長方形 105">
          <a:extLst>
            <a:ext uri="{FF2B5EF4-FFF2-40B4-BE49-F238E27FC236}">
              <a16:creationId xmlns:a16="http://schemas.microsoft.com/office/drawing/2014/main" id="{CC08D434-EF3D-5446-5364-59DE24924AA7}"/>
            </a:ext>
          </a:extLst>
        </xdr:cNvPr>
        <xdr:cNvSpPr/>
      </xdr:nvSpPr>
      <xdr:spPr>
        <a:xfrm>
          <a:off x="9296399" y="6825342"/>
          <a:ext cx="1404000" cy="324000"/>
        </a:xfrm>
        <a:prstGeom prst="rect">
          <a:avLst/>
        </a:prstGeom>
        <a:noFill/>
        <a:ln w="254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</xdr:col>
      <xdr:colOff>165227</xdr:colOff>
      <xdr:row>6</xdr:row>
      <xdr:rowOff>88949</xdr:rowOff>
    </xdr:from>
    <xdr:ext cx="224998" cy="40363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17A9793-E50B-4D85-A928-D6A4659D7035}"/>
            </a:ext>
          </a:extLst>
        </xdr:cNvPr>
        <xdr:cNvSpPr txBox="1"/>
      </xdr:nvSpPr>
      <xdr:spPr>
        <a:xfrm rot="16200000">
          <a:off x="760038" y="1318488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108642</xdr:colOff>
      <xdr:row>6</xdr:row>
      <xdr:rowOff>94321</xdr:rowOff>
    </xdr:from>
    <xdr:to>
      <xdr:col>13</xdr:col>
      <xdr:colOff>153643</xdr:colOff>
      <xdr:row>6</xdr:row>
      <xdr:rowOff>94321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5C0EC6B0-586E-465C-9E0D-91F74D75240D}"/>
            </a:ext>
          </a:extLst>
        </xdr:cNvPr>
        <xdr:cNvCxnSpPr/>
      </xdr:nvCxnSpPr>
      <xdr:spPr>
        <a:xfrm>
          <a:off x="1704949" y="1234540"/>
          <a:ext cx="1185220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209688</xdr:colOff>
      <xdr:row>4</xdr:row>
      <xdr:rowOff>140865</xdr:rowOff>
    </xdr:from>
    <xdr:ext cx="336311" cy="22499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8F87B7A-8309-4A1E-B7E0-AE4287971898}"/>
            </a:ext>
          </a:extLst>
        </xdr:cNvPr>
        <xdr:cNvSpPr txBox="1"/>
      </xdr:nvSpPr>
      <xdr:spPr>
        <a:xfrm>
          <a:off x="2038488" y="826665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</xdr:col>
      <xdr:colOff>32843</xdr:colOff>
      <xdr:row>6</xdr:row>
      <xdr:rowOff>97404</xdr:rowOff>
    </xdr:from>
    <xdr:to>
      <xdr:col>7</xdr:col>
      <xdr:colOff>4793</xdr:colOff>
      <xdr:row>6</xdr:row>
      <xdr:rowOff>99341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8FE17B1D-D58A-45A1-A485-18EC790E9427}"/>
            </a:ext>
          </a:extLst>
        </xdr:cNvPr>
        <xdr:cNvCxnSpPr/>
      </xdr:nvCxnSpPr>
      <xdr:spPr>
        <a:xfrm>
          <a:off x="1173062" y="1237623"/>
          <a:ext cx="199994" cy="1937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100884</xdr:colOff>
      <xdr:row>6</xdr:row>
      <xdr:rowOff>93469</xdr:rowOff>
    </xdr:from>
    <xdr:to>
      <xdr:col>6</xdr:col>
      <xdr:colOff>100884</xdr:colOff>
      <xdr:row>7</xdr:row>
      <xdr:rowOff>224313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DFAA122F-5AEB-4ECE-BE2F-A88C38F725CB}"/>
            </a:ext>
          </a:extLst>
        </xdr:cNvPr>
        <xdr:cNvCxnSpPr/>
      </xdr:nvCxnSpPr>
      <xdr:spPr>
        <a:xfrm>
          <a:off x="1241103" y="1233688"/>
          <a:ext cx="0" cy="35888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7</xdr:row>
      <xdr:rowOff>221401</xdr:rowOff>
    </xdr:from>
    <xdr:to>
      <xdr:col>6</xdr:col>
      <xdr:colOff>214737</xdr:colOff>
      <xdr:row>7</xdr:row>
      <xdr:rowOff>221401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BC11997F-C484-4281-B7D5-E26A38F0F177}"/>
            </a:ext>
          </a:extLst>
        </xdr:cNvPr>
        <xdr:cNvCxnSpPr/>
      </xdr:nvCxnSpPr>
      <xdr:spPr>
        <a:xfrm>
          <a:off x="1187350" y="1589664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</xdr:col>
      <xdr:colOff>120837</xdr:colOff>
      <xdr:row>5</xdr:row>
      <xdr:rowOff>71288</xdr:rowOff>
    </xdr:from>
    <xdr:to>
      <xdr:col>13</xdr:col>
      <xdr:colOff>120837</xdr:colOff>
      <xdr:row>6</xdr:row>
      <xdr:rowOff>4686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3EAC731E-0050-4208-A01A-326F9D7E172F}"/>
            </a:ext>
          </a:extLst>
        </xdr:cNvPr>
        <xdr:cNvCxnSpPr/>
      </xdr:nvCxnSpPr>
      <xdr:spPr>
        <a:xfrm>
          <a:off x="2864037" y="985688"/>
          <a:ext cx="0" cy="16199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94705</xdr:colOff>
      <xdr:row>5</xdr:row>
      <xdr:rowOff>71288</xdr:rowOff>
    </xdr:from>
    <xdr:to>
      <xdr:col>8</xdr:col>
      <xdr:colOff>94705</xdr:colOff>
      <xdr:row>6</xdr:row>
      <xdr:rowOff>3981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16A91AB3-216A-49BD-A22F-F99172A14559}"/>
            </a:ext>
          </a:extLst>
        </xdr:cNvPr>
        <xdr:cNvCxnSpPr/>
      </xdr:nvCxnSpPr>
      <xdr:spPr>
        <a:xfrm>
          <a:off x="1694905" y="985688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88265</xdr:colOff>
      <xdr:row>5</xdr:row>
      <xdr:rowOff>104201</xdr:rowOff>
    </xdr:from>
    <xdr:to>
      <xdr:col>13</xdr:col>
      <xdr:colOff>123601</xdr:colOff>
      <xdr:row>5</xdr:row>
      <xdr:rowOff>104201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AC2D7714-B141-45F2-842D-6443D6D13ECD}"/>
            </a:ext>
          </a:extLst>
        </xdr:cNvPr>
        <xdr:cNvCxnSpPr/>
      </xdr:nvCxnSpPr>
      <xdr:spPr>
        <a:xfrm>
          <a:off x="1688465" y="1018601"/>
          <a:ext cx="117833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217414</xdr:colOff>
      <xdr:row>10</xdr:row>
      <xdr:rowOff>19261</xdr:rowOff>
    </xdr:from>
    <xdr:ext cx="357790" cy="285527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7ABA9700-090C-487B-A278-A16C2AE61EAE}"/>
            </a:ext>
          </a:extLst>
        </xdr:cNvPr>
        <xdr:cNvSpPr txBox="1"/>
      </xdr:nvSpPr>
      <xdr:spPr>
        <a:xfrm>
          <a:off x="1357633" y="2071655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twoCellAnchor editAs="oneCell">
    <xdr:from>
      <xdr:col>7</xdr:col>
      <xdr:colOff>78576</xdr:colOff>
      <xdr:row>10</xdr:row>
      <xdr:rowOff>45893</xdr:rowOff>
    </xdr:from>
    <xdr:to>
      <xdr:col>7</xdr:col>
      <xdr:colOff>116240</xdr:colOff>
      <xdr:row>10</xdr:row>
      <xdr:rowOff>88879</xdr:rowOff>
    </xdr:to>
    <xdr:sp macro="" textlink="">
      <xdr:nvSpPr>
        <xdr:cNvPr id="73" name="楕円 72">
          <a:extLst>
            <a:ext uri="{FF2B5EF4-FFF2-40B4-BE49-F238E27FC236}">
              <a16:creationId xmlns:a16="http://schemas.microsoft.com/office/drawing/2014/main" id="{405F8727-3649-C13C-4C1E-CD22FA8862DE}"/>
            </a:ext>
          </a:extLst>
        </xdr:cNvPr>
        <xdr:cNvSpPr/>
      </xdr:nvSpPr>
      <xdr:spPr>
        <a:xfrm>
          <a:off x="1446839" y="209828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10</xdr:col>
      <xdr:colOff>166144</xdr:colOff>
      <xdr:row>4</xdr:row>
      <xdr:rowOff>140865</xdr:rowOff>
    </xdr:from>
    <xdr:ext cx="444352" cy="224998"/>
    <xdr:sp macro="" textlink="$AF$5">
      <xdr:nvSpPr>
        <xdr:cNvPr id="5" name="テキスト ボックス 4">
          <a:extLst>
            <a:ext uri="{FF2B5EF4-FFF2-40B4-BE49-F238E27FC236}">
              <a16:creationId xmlns:a16="http://schemas.microsoft.com/office/drawing/2014/main" id="{696540E2-E2BE-4E72-B92E-A7CA29FA917F}"/>
            </a:ext>
          </a:extLst>
        </xdr:cNvPr>
        <xdr:cNvSpPr txBox="1"/>
      </xdr:nvSpPr>
      <xdr:spPr>
        <a:xfrm>
          <a:off x="2223544" y="82666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D705F07-767E-49F0-BDDD-B7617C636D8D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</xdr:col>
      <xdr:colOff>80580</xdr:colOff>
      <xdr:row>6</xdr:row>
      <xdr:rowOff>54237</xdr:rowOff>
    </xdr:from>
    <xdr:ext cx="224998" cy="444352"/>
    <xdr:sp macro="" textlink="$AF$6">
      <xdr:nvSpPr>
        <xdr:cNvPr id="7" name="テキスト ボックス 6">
          <a:extLst>
            <a:ext uri="{FF2B5EF4-FFF2-40B4-BE49-F238E27FC236}">
              <a16:creationId xmlns:a16="http://schemas.microsoft.com/office/drawing/2014/main" id="{01A72FFB-D19C-4180-8C80-647B8BB38C6F}"/>
            </a:ext>
          </a:extLst>
        </xdr:cNvPr>
        <xdr:cNvSpPr txBox="1"/>
      </xdr:nvSpPr>
      <xdr:spPr>
        <a:xfrm rot="16200000">
          <a:off x="883078" y="130413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416343-1F6B-4DA5-B606-7ADEF54C2E7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16502</xdr:colOff>
      <xdr:row>7</xdr:row>
      <xdr:rowOff>212828</xdr:rowOff>
    </xdr:from>
    <xdr:to>
      <xdr:col>13</xdr:col>
      <xdr:colOff>64130</xdr:colOff>
      <xdr:row>7</xdr:row>
      <xdr:rowOff>212828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5E1B478B-5F09-0280-2F4E-6E1DB6625673}"/>
            </a:ext>
          </a:extLst>
        </xdr:cNvPr>
        <xdr:cNvCxnSpPr/>
      </xdr:nvCxnSpPr>
      <xdr:spPr>
        <a:xfrm>
          <a:off x="1612809" y="1581091"/>
          <a:ext cx="1187847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43143</xdr:colOff>
      <xdr:row>7</xdr:row>
      <xdr:rowOff>212062</xdr:rowOff>
    </xdr:from>
    <xdr:to>
      <xdr:col>11</xdr:col>
      <xdr:colOff>193090</xdr:colOff>
      <xdr:row>10</xdr:row>
      <xdr:rowOff>64848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6FB0EB6E-60A5-5C77-F749-888BE339313B}"/>
            </a:ext>
          </a:extLst>
        </xdr:cNvPr>
        <xdr:cNvCxnSpPr/>
      </xdr:nvCxnSpPr>
      <xdr:spPr>
        <a:xfrm flipH="1">
          <a:off x="2323581" y="1580325"/>
          <a:ext cx="149947" cy="53691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100885</xdr:colOff>
      <xdr:row>7</xdr:row>
      <xdr:rowOff>210143</xdr:rowOff>
    </xdr:from>
    <xdr:to>
      <xdr:col>6</xdr:col>
      <xdr:colOff>100885</xdr:colOff>
      <xdr:row>10</xdr:row>
      <xdr:rowOff>64900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DC71C3FD-6608-C4D3-7128-8E5607C05088}"/>
            </a:ext>
          </a:extLst>
        </xdr:cNvPr>
        <xdr:cNvCxnSpPr/>
      </xdr:nvCxnSpPr>
      <xdr:spPr>
        <a:xfrm>
          <a:off x="1241104" y="1578406"/>
          <a:ext cx="0" cy="53888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10</xdr:row>
      <xdr:rowOff>64303</xdr:rowOff>
    </xdr:from>
    <xdr:to>
      <xdr:col>6</xdr:col>
      <xdr:colOff>214737</xdr:colOff>
      <xdr:row>10</xdr:row>
      <xdr:rowOff>64303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23250EA4-5417-3612-F1F1-799D34471F75}"/>
            </a:ext>
          </a:extLst>
        </xdr:cNvPr>
        <xdr:cNvCxnSpPr/>
      </xdr:nvCxnSpPr>
      <xdr:spPr>
        <a:xfrm>
          <a:off x="1187350" y="2116697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80580</xdr:colOff>
      <xdr:row>8</xdr:row>
      <xdr:rowOff>19596</xdr:rowOff>
    </xdr:from>
    <xdr:ext cx="224998" cy="444352"/>
    <xdr:sp macro="" textlink="$AF$7">
      <xdr:nvSpPr>
        <xdr:cNvPr id="60" name="テキスト ボックス 59">
          <a:extLst>
            <a:ext uri="{FF2B5EF4-FFF2-40B4-BE49-F238E27FC236}">
              <a16:creationId xmlns:a16="http://schemas.microsoft.com/office/drawing/2014/main" id="{06603883-629F-8A8A-B3DB-E4C6DE4B8BEB}"/>
            </a:ext>
          </a:extLst>
        </xdr:cNvPr>
        <xdr:cNvSpPr txBox="1"/>
      </xdr:nvSpPr>
      <xdr:spPr>
        <a:xfrm rot="16200000">
          <a:off x="883078" y="17255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D545BB-E425-40A1-91BC-957E5A8C181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0.500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twoCellAnchor editAs="oneCell">
    <xdr:from>
      <xdr:col>8</xdr:col>
      <xdr:colOff>5850</xdr:colOff>
      <xdr:row>5</xdr:row>
      <xdr:rowOff>71288</xdr:rowOff>
    </xdr:from>
    <xdr:to>
      <xdr:col>8</xdr:col>
      <xdr:colOff>5850</xdr:colOff>
      <xdr:row>6</xdr:row>
      <xdr:rowOff>3981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475509A0-0A82-E882-D280-7C50EA9E6BDF}"/>
            </a:ext>
          </a:extLst>
        </xdr:cNvPr>
        <xdr:cNvCxnSpPr/>
      </xdr:nvCxnSpPr>
      <xdr:spPr>
        <a:xfrm>
          <a:off x="1606050" y="985688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224900</xdr:colOff>
      <xdr:row>5</xdr:row>
      <xdr:rowOff>104201</xdr:rowOff>
    </xdr:from>
    <xdr:to>
      <xdr:col>8</xdr:col>
      <xdr:colOff>98776</xdr:colOff>
      <xdr:row>5</xdr:row>
      <xdr:rowOff>104201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918F05E2-DF4F-7357-6245-496310917FAD}"/>
            </a:ext>
          </a:extLst>
        </xdr:cNvPr>
        <xdr:cNvCxnSpPr/>
      </xdr:nvCxnSpPr>
      <xdr:spPr>
        <a:xfrm>
          <a:off x="1596500" y="1018601"/>
          <a:ext cx="10247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129359</xdr:colOff>
      <xdr:row>4</xdr:row>
      <xdr:rowOff>125100</xdr:rowOff>
    </xdr:from>
    <xdr:ext cx="444352" cy="224998"/>
    <xdr:sp macro="" textlink="$AF$9">
      <xdr:nvSpPr>
        <xdr:cNvPr id="88" name="テキスト ボックス 87">
          <a:extLst>
            <a:ext uri="{FF2B5EF4-FFF2-40B4-BE49-F238E27FC236}">
              <a16:creationId xmlns:a16="http://schemas.microsoft.com/office/drawing/2014/main" id="{AA33B882-27F2-6241-226F-B9760CD80AA9}"/>
            </a:ext>
          </a:extLst>
        </xdr:cNvPr>
        <xdr:cNvSpPr txBox="1"/>
      </xdr:nvSpPr>
      <xdr:spPr>
        <a:xfrm>
          <a:off x="1500959" y="81090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A0E6C33-B0BC-4B04-9472-DB0061C5938F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0.120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7</xdr:col>
      <xdr:colOff>136115</xdr:colOff>
      <xdr:row>4</xdr:row>
      <xdr:rowOff>17368</xdr:rowOff>
    </xdr:from>
    <xdr:ext cx="370935" cy="224998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795746CF-393B-EFA1-E2CE-71E189C8C7E7}"/>
            </a:ext>
          </a:extLst>
        </xdr:cNvPr>
        <xdr:cNvSpPr txBox="1"/>
      </xdr:nvSpPr>
      <xdr:spPr>
        <a:xfrm>
          <a:off x="1507715" y="703168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₁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7</xdr:col>
      <xdr:colOff>94706</xdr:colOff>
      <xdr:row>5</xdr:row>
      <xdr:rowOff>79656</xdr:rowOff>
    </xdr:from>
    <xdr:to>
      <xdr:col>7</xdr:col>
      <xdr:colOff>94706</xdr:colOff>
      <xdr:row>6</xdr:row>
      <xdr:rowOff>9239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EF6933D9-999F-43D9-BDF0-26B06CA4FF2C}"/>
            </a:ext>
          </a:extLst>
        </xdr:cNvPr>
        <xdr:cNvCxnSpPr/>
      </xdr:nvCxnSpPr>
      <xdr:spPr>
        <a:xfrm>
          <a:off x="1466306" y="994056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93521</xdr:colOff>
      <xdr:row>5</xdr:row>
      <xdr:rowOff>104206</xdr:rowOff>
    </xdr:from>
    <xdr:to>
      <xdr:col>7</xdr:col>
      <xdr:colOff>219649</xdr:colOff>
      <xdr:row>5</xdr:row>
      <xdr:rowOff>104206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30FC644-E93E-42D1-A27A-714309E634F8}"/>
            </a:ext>
          </a:extLst>
        </xdr:cNvPr>
        <xdr:cNvCxnSpPr/>
      </xdr:nvCxnSpPr>
      <xdr:spPr>
        <a:xfrm>
          <a:off x="1465121" y="1018606"/>
          <a:ext cx="12612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204432</xdr:colOff>
      <xdr:row>4</xdr:row>
      <xdr:rowOff>17368</xdr:rowOff>
    </xdr:from>
    <xdr:ext cx="370935" cy="224998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25A1E12B-E09A-96FB-5DE3-D2A3293AB759}"/>
            </a:ext>
          </a:extLst>
        </xdr:cNvPr>
        <xdr:cNvSpPr txBox="1"/>
      </xdr:nvSpPr>
      <xdr:spPr>
        <a:xfrm>
          <a:off x="1118832" y="703168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₂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</xdr:col>
      <xdr:colOff>8972</xdr:colOff>
      <xdr:row>4</xdr:row>
      <xdr:rowOff>130355</xdr:rowOff>
    </xdr:from>
    <xdr:ext cx="444352" cy="224998"/>
    <xdr:sp macro="" textlink="$AF$10">
      <xdr:nvSpPr>
        <xdr:cNvPr id="50" name="テキスト ボックス 49">
          <a:extLst>
            <a:ext uri="{FF2B5EF4-FFF2-40B4-BE49-F238E27FC236}">
              <a16:creationId xmlns:a16="http://schemas.microsoft.com/office/drawing/2014/main" id="{7398C91B-AD41-66D0-8FDA-48EA420BECD9}"/>
            </a:ext>
          </a:extLst>
        </xdr:cNvPr>
        <xdr:cNvSpPr txBox="1"/>
      </xdr:nvSpPr>
      <xdr:spPr>
        <a:xfrm>
          <a:off x="1151972" y="81615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4EE245-A500-4B65-ADAC-64F54D1205CB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</xdr:col>
      <xdr:colOff>165228</xdr:colOff>
      <xdr:row>8</xdr:row>
      <xdr:rowOff>130993</xdr:rowOff>
    </xdr:from>
    <xdr:ext cx="224998" cy="403637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8A08A453-D52D-F1AA-1736-812133B26BD6}"/>
            </a:ext>
          </a:extLst>
        </xdr:cNvPr>
        <xdr:cNvSpPr txBox="1"/>
      </xdr:nvSpPr>
      <xdr:spPr>
        <a:xfrm rot="16200000">
          <a:off x="760039" y="1816620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12</xdr:col>
      <xdr:colOff>130230</xdr:colOff>
      <xdr:row>6</xdr:row>
      <xdr:rowOff>119028</xdr:rowOff>
    </xdr:from>
    <xdr:to>
      <xdr:col>13</xdr:col>
      <xdr:colOff>141370</xdr:colOff>
      <xdr:row>10</xdr:row>
      <xdr:rowOff>64848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DDB6927F-112A-F120-207E-6920BD49521E}"/>
            </a:ext>
          </a:extLst>
        </xdr:cNvPr>
        <xdr:cNvCxnSpPr/>
      </xdr:nvCxnSpPr>
      <xdr:spPr>
        <a:xfrm flipH="1">
          <a:off x="2638712" y="1259247"/>
          <a:ext cx="239184" cy="85799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8</xdr:col>
      <xdr:colOff>29307</xdr:colOff>
      <xdr:row>6</xdr:row>
      <xdr:rowOff>89720</xdr:rowOff>
    </xdr:from>
    <xdr:to>
      <xdr:col>13</xdr:col>
      <xdr:colOff>140677</xdr:colOff>
      <xdr:row>7</xdr:row>
      <xdr:rowOff>212257</xdr:rowOff>
    </xdr:to>
    <xdr:sp macro="" textlink="">
      <xdr:nvSpPr>
        <xdr:cNvPr id="120" name="平行四辺形 119">
          <a:extLst>
            <a:ext uri="{FF2B5EF4-FFF2-40B4-BE49-F238E27FC236}">
              <a16:creationId xmlns:a16="http://schemas.microsoft.com/office/drawing/2014/main" id="{A254715D-3424-B1F7-26E3-B6DB89C9A6CB}"/>
            </a:ext>
          </a:extLst>
        </xdr:cNvPr>
        <xdr:cNvSpPr/>
      </xdr:nvSpPr>
      <xdr:spPr>
        <a:xfrm>
          <a:off x="1625614" y="1229939"/>
          <a:ext cx="1251589" cy="350581"/>
        </a:xfrm>
        <a:prstGeom prst="parallelogram">
          <a:avLst>
            <a:gd name="adj" fmla="val 26666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</xdr:col>
      <xdr:colOff>165227</xdr:colOff>
      <xdr:row>18</xdr:row>
      <xdr:rowOff>69593</xdr:rowOff>
    </xdr:from>
    <xdr:ext cx="224998" cy="403637"/>
    <xdr:sp macro="" textlink="">
      <xdr:nvSpPr>
        <xdr:cNvPr id="127" name="テキスト ボックス 126">
          <a:extLst>
            <a:ext uri="{FF2B5EF4-FFF2-40B4-BE49-F238E27FC236}">
              <a16:creationId xmlns:a16="http://schemas.microsoft.com/office/drawing/2014/main" id="{8B9D231F-550D-EFC8-59A6-244EC6949398}"/>
            </a:ext>
          </a:extLst>
        </xdr:cNvPr>
        <xdr:cNvSpPr txBox="1"/>
      </xdr:nvSpPr>
      <xdr:spPr>
        <a:xfrm rot="16200000">
          <a:off x="760038" y="4035658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108642</xdr:colOff>
      <xdr:row>18</xdr:row>
      <xdr:rowOff>74965</xdr:rowOff>
    </xdr:from>
    <xdr:to>
      <xdr:col>13</xdr:col>
      <xdr:colOff>153643</xdr:colOff>
      <xdr:row>18</xdr:row>
      <xdr:rowOff>74965</xdr:rowOff>
    </xdr:to>
    <xdr:cxnSp macro="">
      <xdr:nvCxnSpPr>
        <xdr:cNvPr id="128" name="直線コネクタ 127">
          <a:extLst>
            <a:ext uri="{FF2B5EF4-FFF2-40B4-BE49-F238E27FC236}">
              <a16:creationId xmlns:a16="http://schemas.microsoft.com/office/drawing/2014/main" id="{EE84CA26-5B8C-2264-4914-51C2F356C32D}"/>
            </a:ext>
          </a:extLst>
        </xdr:cNvPr>
        <xdr:cNvCxnSpPr/>
      </xdr:nvCxnSpPr>
      <xdr:spPr>
        <a:xfrm>
          <a:off x="1704949" y="3951710"/>
          <a:ext cx="1185220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32843</xdr:colOff>
      <xdr:row>18</xdr:row>
      <xdr:rowOff>78048</xdr:rowOff>
    </xdr:from>
    <xdr:to>
      <xdr:col>7</xdr:col>
      <xdr:colOff>4793</xdr:colOff>
      <xdr:row>18</xdr:row>
      <xdr:rowOff>79985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3319F0EE-21EB-1362-048C-CEED7B05B650}"/>
            </a:ext>
          </a:extLst>
        </xdr:cNvPr>
        <xdr:cNvCxnSpPr/>
      </xdr:nvCxnSpPr>
      <xdr:spPr>
        <a:xfrm>
          <a:off x="1173062" y="3954793"/>
          <a:ext cx="199994" cy="1937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100884</xdr:colOff>
      <xdr:row>18</xdr:row>
      <xdr:rowOff>74113</xdr:rowOff>
    </xdr:from>
    <xdr:to>
      <xdr:col>6</xdr:col>
      <xdr:colOff>100884</xdr:colOff>
      <xdr:row>19</xdr:row>
      <xdr:rowOff>207018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248B240A-6B02-97F6-1CF7-9AB63D7826DA}"/>
            </a:ext>
          </a:extLst>
        </xdr:cNvPr>
        <xdr:cNvCxnSpPr/>
      </xdr:nvCxnSpPr>
      <xdr:spPr>
        <a:xfrm>
          <a:off x="1241103" y="3950858"/>
          <a:ext cx="0" cy="360948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19</xdr:row>
      <xdr:rowOff>202601</xdr:rowOff>
    </xdr:from>
    <xdr:to>
      <xdr:col>6</xdr:col>
      <xdr:colOff>214737</xdr:colOff>
      <xdr:row>19</xdr:row>
      <xdr:rowOff>206527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DD0BA2F2-575D-B804-EB79-3E22A1CA8864}"/>
            </a:ext>
          </a:extLst>
        </xdr:cNvPr>
        <xdr:cNvCxnSpPr/>
      </xdr:nvCxnSpPr>
      <xdr:spPr>
        <a:xfrm>
          <a:off x="1187350" y="4307389"/>
          <a:ext cx="167606" cy="392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2029</xdr:colOff>
      <xdr:row>17</xdr:row>
      <xdr:rowOff>18560</xdr:rowOff>
    </xdr:from>
    <xdr:to>
      <xdr:col>12</xdr:col>
      <xdr:colOff>2029</xdr:colOff>
      <xdr:row>17</xdr:row>
      <xdr:rowOff>179853</xdr:rowOff>
    </xdr:to>
    <xdr:cxnSp macro="">
      <xdr:nvCxnSpPr>
        <xdr:cNvPr id="137" name="直線コネクタ 136">
          <a:extLst>
            <a:ext uri="{FF2B5EF4-FFF2-40B4-BE49-F238E27FC236}">
              <a16:creationId xmlns:a16="http://schemas.microsoft.com/office/drawing/2014/main" id="{8CAF1745-0AA3-BB8B-AFB6-41B67DE11D1F}"/>
            </a:ext>
          </a:extLst>
        </xdr:cNvPr>
        <xdr:cNvCxnSpPr/>
      </xdr:nvCxnSpPr>
      <xdr:spPr>
        <a:xfrm>
          <a:off x="2510511" y="3667261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217414</xdr:colOff>
      <xdr:row>21</xdr:row>
      <xdr:rowOff>227949</xdr:rowOff>
    </xdr:from>
    <xdr:ext cx="357790" cy="285527"/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394FFFFE-779B-CE4D-B02C-244B9BBF8E65}"/>
            </a:ext>
          </a:extLst>
        </xdr:cNvPr>
        <xdr:cNvSpPr txBox="1"/>
      </xdr:nvSpPr>
      <xdr:spPr>
        <a:xfrm>
          <a:off x="1357633" y="4788825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twoCellAnchor editAs="oneCell">
    <xdr:from>
      <xdr:col>7</xdr:col>
      <xdr:colOff>78576</xdr:colOff>
      <xdr:row>22</xdr:row>
      <xdr:rowOff>26537</xdr:rowOff>
    </xdr:from>
    <xdr:to>
      <xdr:col>7</xdr:col>
      <xdr:colOff>116240</xdr:colOff>
      <xdr:row>22</xdr:row>
      <xdr:rowOff>69523</xdr:rowOff>
    </xdr:to>
    <xdr:sp macro="" textlink="">
      <xdr:nvSpPr>
        <xdr:cNvPr id="141" name="楕円 140">
          <a:extLst>
            <a:ext uri="{FF2B5EF4-FFF2-40B4-BE49-F238E27FC236}">
              <a16:creationId xmlns:a16="http://schemas.microsoft.com/office/drawing/2014/main" id="{288EF521-322C-68C3-465D-285B87357E0B}"/>
            </a:ext>
          </a:extLst>
        </xdr:cNvPr>
        <xdr:cNvSpPr/>
      </xdr:nvSpPr>
      <xdr:spPr>
        <a:xfrm>
          <a:off x="1446839" y="481545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80580</xdr:colOff>
      <xdr:row>18</xdr:row>
      <xdr:rowOff>34881</xdr:rowOff>
    </xdr:from>
    <xdr:ext cx="224998" cy="444352"/>
    <xdr:sp macro="" textlink="$AF$6">
      <xdr:nvSpPr>
        <xdr:cNvPr id="143" name="テキスト ボックス 142">
          <a:extLst>
            <a:ext uri="{FF2B5EF4-FFF2-40B4-BE49-F238E27FC236}">
              <a16:creationId xmlns:a16="http://schemas.microsoft.com/office/drawing/2014/main" id="{BBA5EB6F-92C4-EB80-DC4C-CAA1861D3C5F}"/>
            </a:ext>
          </a:extLst>
        </xdr:cNvPr>
        <xdr:cNvSpPr txBox="1"/>
      </xdr:nvSpPr>
      <xdr:spPr>
        <a:xfrm rot="16200000">
          <a:off x="883078" y="402130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416343-1F6B-4DA5-B606-7ADEF54C2E7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8</xdr:col>
      <xdr:colOff>16502</xdr:colOff>
      <xdr:row>19</xdr:row>
      <xdr:rowOff>194028</xdr:rowOff>
    </xdr:from>
    <xdr:to>
      <xdr:col>13</xdr:col>
      <xdr:colOff>64130</xdr:colOff>
      <xdr:row>19</xdr:row>
      <xdr:rowOff>194028</xdr:rowOff>
    </xdr:to>
    <xdr:cxnSp macro="">
      <xdr:nvCxnSpPr>
        <xdr:cNvPr id="144" name="直線コネクタ 143">
          <a:extLst>
            <a:ext uri="{FF2B5EF4-FFF2-40B4-BE49-F238E27FC236}">
              <a16:creationId xmlns:a16="http://schemas.microsoft.com/office/drawing/2014/main" id="{18AE97D0-9551-F937-BC33-D0D11B640F2F}"/>
            </a:ext>
          </a:extLst>
        </xdr:cNvPr>
        <xdr:cNvCxnSpPr/>
      </xdr:nvCxnSpPr>
      <xdr:spPr>
        <a:xfrm>
          <a:off x="1612809" y="4298816"/>
          <a:ext cx="1187847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43143</xdr:colOff>
      <xdr:row>19</xdr:row>
      <xdr:rowOff>193262</xdr:rowOff>
    </xdr:from>
    <xdr:to>
      <xdr:col>11</xdr:col>
      <xdr:colOff>193090</xdr:colOff>
      <xdr:row>22</xdr:row>
      <xdr:rowOff>45492</xdr:rowOff>
    </xdr:to>
    <xdr:cxnSp macro="">
      <xdr:nvCxnSpPr>
        <xdr:cNvPr id="145" name="直線コネクタ 144">
          <a:extLst>
            <a:ext uri="{FF2B5EF4-FFF2-40B4-BE49-F238E27FC236}">
              <a16:creationId xmlns:a16="http://schemas.microsoft.com/office/drawing/2014/main" id="{091E45F9-C055-D7DA-6F20-41884EBD4B8C}"/>
            </a:ext>
          </a:extLst>
        </xdr:cNvPr>
        <xdr:cNvCxnSpPr/>
      </xdr:nvCxnSpPr>
      <xdr:spPr>
        <a:xfrm flipH="1">
          <a:off x="2323581" y="4298050"/>
          <a:ext cx="149947" cy="536362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100885</xdr:colOff>
      <xdr:row>19</xdr:row>
      <xdr:rowOff>191343</xdr:rowOff>
    </xdr:from>
    <xdr:to>
      <xdr:col>6</xdr:col>
      <xdr:colOff>100885</xdr:colOff>
      <xdr:row>22</xdr:row>
      <xdr:rowOff>45544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0B71AF23-4E7B-BC4D-DB53-ED4C8AB76526}"/>
            </a:ext>
          </a:extLst>
        </xdr:cNvPr>
        <xdr:cNvCxnSpPr/>
      </xdr:nvCxnSpPr>
      <xdr:spPr>
        <a:xfrm>
          <a:off x="1241104" y="4296131"/>
          <a:ext cx="0" cy="53833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47131</xdr:colOff>
      <xdr:row>22</xdr:row>
      <xdr:rowOff>44947</xdr:rowOff>
    </xdr:from>
    <xdr:to>
      <xdr:col>6</xdr:col>
      <xdr:colOff>214737</xdr:colOff>
      <xdr:row>22</xdr:row>
      <xdr:rowOff>44947</xdr:rowOff>
    </xdr:to>
    <xdr:cxnSp macro="">
      <xdr:nvCxnSpPr>
        <xdr:cNvPr id="149" name="直線コネクタ 148">
          <a:extLst>
            <a:ext uri="{FF2B5EF4-FFF2-40B4-BE49-F238E27FC236}">
              <a16:creationId xmlns:a16="http://schemas.microsoft.com/office/drawing/2014/main" id="{66644C15-B86B-9B44-84CF-62BBFD1D29BF}"/>
            </a:ext>
          </a:extLst>
        </xdr:cNvPr>
        <xdr:cNvCxnSpPr/>
      </xdr:nvCxnSpPr>
      <xdr:spPr>
        <a:xfrm>
          <a:off x="1187350" y="4833867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80580</xdr:colOff>
      <xdr:row>20</xdr:row>
      <xdr:rowOff>240</xdr:rowOff>
    </xdr:from>
    <xdr:ext cx="224998" cy="444352"/>
    <xdr:sp macro="" textlink="$AF$7">
      <xdr:nvSpPr>
        <xdr:cNvPr id="150" name="テキスト ボックス 149">
          <a:extLst>
            <a:ext uri="{FF2B5EF4-FFF2-40B4-BE49-F238E27FC236}">
              <a16:creationId xmlns:a16="http://schemas.microsoft.com/office/drawing/2014/main" id="{808D4C57-A078-B41E-42A2-D5910279B86B}"/>
            </a:ext>
          </a:extLst>
        </xdr:cNvPr>
        <xdr:cNvSpPr txBox="1"/>
      </xdr:nvSpPr>
      <xdr:spPr>
        <a:xfrm rot="16200000">
          <a:off x="883078" y="444274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D545BB-E425-40A1-91BC-957E5A8C181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0.500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twoCellAnchor editAs="oneCell">
    <xdr:from>
      <xdr:col>8</xdr:col>
      <xdr:colOff>5850</xdr:colOff>
      <xdr:row>17</xdr:row>
      <xdr:rowOff>18560</xdr:rowOff>
    </xdr:from>
    <xdr:to>
      <xdr:col>8</xdr:col>
      <xdr:colOff>5850</xdr:colOff>
      <xdr:row>17</xdr:row>
      <xdr:rowOff>179853</xdr:rowOff>
    </xdr:to>
    <xdr:cxnSp macro="">
      <xdr:nvCxnSpPr>
        <xdr:cNvPr id="151" name="直線コネクタ 150">
          <a:extLst>
            <a:ext uri="{FF2B5EF4-FFF2-40B4-BE49-F238E27FC236}">
              <a16:creationId xmlns:a16="http://schemas.microsoft.com/office/drawing/2014/main" id="{AB728F7E-6ABE-C98C-361A-203B89D48C4F}"/>
            </a:ext>
          </a:extLst>
        </xdr:cNvPr>
        <xdr:cNvCxnSpPr/>
      </xdr:nvCxnSpPr>
      <xdr:spPr>
        <a:xfrm>
          <a:off x="1602157" y="3667261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224899</xdr:colOff>
      <xdr:row>17</xdr:row>
      <xdr:rowOff>51473</xdr:rowOff>
    </xdr:from>
    <xdr:to>
      <xdr:col>11</xdr:col>
      <xdr:colOff>218737</xdr:colOff>
      <xdr:row>17</xdr:row>
      <xdr:rowOff>51473</xdr:rowOff>
    </xdr:to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2A7070B8-9DE9-4C25-DC80-848EF8511374}"/>
            </a:ext>
          </a:extLst>
        </xdr:cNvPr>
        <xdr:cNvCxnSpPr/>
      </xdr:nvCxnSpPr>
      <xdr:spPr>
        <a:xfrm>
          <a:off x="1593162" y="3700174"/>
          <a:ext cx="90601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</xdr:col>
      <xdr:colOff>155102</xdr:colOff>
      <xdr:row>16</xdr:row>
      <xdr:rowOff>72372</xdr:rowOff>
    </xdr:from>
    <xdr:ext cx="444352" cy="224998"/>
    <xdr:sp macro="" textlink="$AF$22">
      <xdr:nvSpPr>
        <xdr:cNvPr id="153" name="テキスト ボックス 152">
          <a:extLst>
            <a:ext uri="{FF2B5EF4-FFF2-40B4-BE49-F238E27FC236}">
              <a16:creationId xmlns:a16="http://schemas.microsoft.com/office/drawing/2014/main" id="{F08CFE5D-52E3-6149-566C-852F4FB1B97B}"/>
            </a:ext>
          </a:extLst>
        </xdr:cNvPr>
        <xdr:cNvSpPr txBox="1"/>
      </xdr:nvSpPr>
      <xdr:spPr>
        <a:xfrm>
          <a:off x="1979452" y="34930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8</xdr:col>
      <xdr:colOff>161858</xdr:colOff>
      <xdr:row>16</xdr:row>
      <xdr:rowOff>64524</xdr:rowOff>
    </xdr:from>
    <xdr:ext cx="370935" cy="224998"/>
    <xdr:sp macro="" textlink="">
      <xdr:nvSpPr>
        <xdr:cNvPr id="154" name="テキスト ボックス 153">
          <a:extLst>
            <a:ext uri="{FF2B5EF4-FFF2-40B4-BE49-F238E27FC236}">
              <a16:creationId xmlns:a16="http://schemas.microsoft.com/office/drawing/2014/main" id="{77332DF9-5A65-91A1-6843-49B51DD3D2E4}"/>
            </a:ext>
          </a:extLst>
        </xdr:cNvPr>
        <xdr:cNvSpPr txBox="1"/>
      </xdr:nvSpPr>
      <xdr:spPr>
        <a:xfrm>
          <a:off x="1758165" y="3485181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7</xdr:col>
      <xdr:colOff>94706</xdr:colOff>
      <xdr:row>17</xdr:row>
      <xdr:rowOff>26928</xdr:rowOff>
    </xdr:from>
    <xdr:to>
      <xdr:col>7</xdr:col>
      <xdr:colOff>94706</xdr:colOff>
      <xdr:row>17</xdr:row>
      <xdr:rowOff>185111</xdr:rowOff>
    </xdr:to>
    <xdr:cxnSp macro="">
      <xdr:nvCxnSpPr>
        <xdr:cNvPr id="155" name="直線コネクタ 154">
          <a:extLst>
            <a:ext uri="{FF2B5EF4-FFF2-40B4-BE49-F238E27FC236}">
              <a16:creationId xmlns:a16="http://schemas.microsoft.com/office/drawing/2014/main" id="{A688DED5-7F73-E9A6-1613-EB7A829343D8}"/>
            </a:ext>
          </a:extLst>
        </xdr:cNvPr>
        <xdr:cNvCxnSpPr/>
      </xdr:nvCxnSpPr>
      <xdr:spPr>
        <a:xfrm>
          <a:off x="1462969" y="3675629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93521</xdr:colOff>
      <xdr:row>17</xdr:row>
      <xdr:rowOff>51478</xdr:rowOff>
    </xdr:from>
    <xdr:to>
      <xdr:col>7</xdr:col>
      <xdr:colOff>219649</xdr:colOff>
      <xdr:row>17</xdr:row>
      <xdr:rowOff>51478</xdr:rowOff>
    </xdr:to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2B443381-ACB4-E015-3F8A-27B96D4DC1FC}"/>
            </a:ext>
          </a:extLst>
        </xdr:cNvPr>
        <xdr:cNvCxnSpPr/>
      </xdr:nvCxnSpPr>
      <xdr:spPr>
        <a:xfrm>
          <a:off x="1461784" y="3700179"/>
          <a:ext cx="12612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811</xdr:colOff>
      <xdr:row>16</xdr:row>
      <xdr:rowOff>85778</xdr:rowOff>
    </xdr:from>
    <xdr:ext cx="370935" cy="224998"/>
    <xdr:sp macro="" textlink="">
      <xdr:nvSpPr>
        <xdr:cNvPr id="158" name="テキスト ボックス 157">
          <a:extLst>
            <a:ext uri="{FF2B5EF4-FFF2-40B4-BE49-F238E27FC236}">
              <a16:creationId xmlns:a16="http://schemas.microsoft.com/office/drawing/2014/main" id="{A7F8F9D3-D00D-A22D-E8F8-9F585AB782BF}"/>
            </a:ext>
          </a:extLst>
        </xdr:cNvPr>
        <xdr:cNvSpPr txBox="1"/>
      </xdr:nvSpPr>
      <xdr:spPr>
        <a:xfrm>
          <a:off x="912986" y="3506435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₂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</xdr:col>
      <xdr:colOff>8972</xdr:colOff>
      <xdr:row>16</xdr:row>
      <xdr:rowOff>77627</xdr:rowOff>
    </xdr:from>
    <xdr:ext cx="444352" cy="224998"/>
    <xdr:sp macro="" textlink="$AF$10">
      <xdr:nvSpPr>
        <xdr:cNvPr id="159" name="テキスト ボックス 158">
          <a:extLst>
            <a:ext uri="{FF2B5EF4-FFF2-40B4-BE49-F238E27FC236}">
              <a16:creationId xmlns:a16="http://schemas.microsoft.com/office/drawing/2014/main" id="{DE11EEAE-4E4E-EE70-9189-8C54661C8D0C}"/>
            </a:ext>
          </a:extLst>
        </xdr:cNvPr>
        <xdr:cNvSpPr txBox="1"/>
      </xdr:nvSpPr>
      <xdr:spPr>
        <a:xfrm>
          <a:off x="1149191" y="349828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4EE245-A500-4B65-ADAC-64F54D1205CB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</xdr:col>
      <xdr:colOff>165228</xdr:colOff>
      <xdr:row>20</xdr:row>
      <xdr:rowOff>111637</xdr:rowOff>
    </xdr:from>
    <xdr:ext cx="224998" cy="403637"/>
    <xdr:sp macro="" textlink="">
      <xdr:nvSpPr>
        <xdr:cNvPr id="160" name="テキスト ボックス 159">
          <a:extLst>
            <a:ext uri="{FF2B5EF4-FFF2-40B4-BE49-F238E27FC236}">
              <a16:creationId xmlns:a16="http://schemas.microsoft.com/office/drawing/2014/main" id="{0BA44BB1-F537-DB0F-5DF2-9AE84F7D8365}"/>
            </a:ext>
          </a:extLst>
        </xdr:cNvPr>
        <xdr:cNvSpPr txBox="1"/>
      </xdr:nvSpPr>
      <xdr:spPr>
        <a:xfrm rot="16200000">
          <a:off x="760039" y="4533789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12</xdr:col>
      <xdr:colOff>130230</xdr:colOff>
      <xdr:row>18</xdr:row>
      <xdr:rowOff>99672</xdr:rowOff>
    </xdr:from>
    <xdr:to>
      <xdr:col>13</xdr:col>
      <xdr:colOff>141370</xdr:colOff>
      <xdr:row>22</xdr:row>
      <xdr:rowOff>45493</xdr:rowOff>
    </xdr:to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A5512580-7C1E-119C-195B-20230A30FA28}"/>
            </a:ext>
          </a:extLst>
        </xdr:cNvPr>
        <xdr:cNvCxnSpPr/>
      </xdr:nvCxnSpPr>
      <xdr:spPr>
        <a:xfrm flipH="1">
          <a:off x="2638712" y="3976417"/>
          <a:ext cx="239184" cy="857996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108642</xdr:colOff>
      <xdr:row>28</xdr:row>
      <xdr:rowOff>119189</xdr:rowOff>
    </xdr:from>
    <xdr:ext cx="1188001" cy="0"/>
    <xdr:cxnSp macro="">
      <xdr:nvCxnSpPr>
        <xdr:cNvPr id="263" name="直線コネクタ 262">
          <a:extLst>
            <a:ext uri="{FF2B5EF4-FFF2-40B4-BE49-F238E27FC236}">
              <a16:creationId xmlns:a16="http://schemas.microsoft.com/office/drawing/2014/main" id="{E2E510F1-66BA-44E7-A612-C3AA19A3FA35}"/>
            </a:ext>
          </a:extLst>
        </xdr:cNvPr>
        <xdr:cNvCxnSpPr/>
      </xdr:nvCxnSpPr>
      <xdr:spPr>
        <a:xfrm>
          <a:off x="9648296" y="573458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47131</xdr:colOff>
      <xdr:row>30</xdr:row>
      <xdr:rowOff>19691</xdr:rowOff>
    </xdr:from>
    <xdr:ext cx="167606" cy="0"/>
    <xdr:cxnSp macro="">
      <xdr:nvCxnSpPr>
        <xdr:cNvPr id="266" name="直線コネクタ 265">
          <a:extLst>
            <a:ext uri="{FF2B5EF4-FFF2-40B4-BE49-F238E27FC236}">
              <a16:creationId xmlns:a16="http://schemas.microsoft.com/office/drawing/2014/main" id="{9914337A-8FAF-446F-A7C1-B7FD4ABB8E38}"/>
            </a:ext>
          </a:extLst>
        </xdr:cNvPr>
        <xdr:cNvCxnSpPr/>
      </xdr:nvCxnSpPr>
      <xdr:spPr>
        <a:xfrm>
          <a:off x="9132516" y="928229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11</xdr:col>
      <xdr:colOff>57446</xdr:colOff>
      <xdr:row>33</xdr:row>
      <xdr:rowOff>77570</xdr:rowOff>
    </xdr:from>
    <xdr:ext cx="0" cy="161293"/>
    <xdr:cxnSp macro="">
      <xdr:nvCxnSpPr>
        <xdr:cNvPr id="267" name="直線コネクタ 266">
          <a:extLst>
            <a:ext uri="{FF2B5EF4-FFF2-40B4-BE49-F238E27FC236}">
              <a16:creationId xmlns:a16="http://schemas.microsoft.com/office/drawing/2014/main" id="{13140111-D7EF-4C4D-BD15-684EFCE03356}"/>
            </a:ext>
          </a:extLst>
        </xdr:cNvPr>
        <xdr:cNvCxnSpPr/>
      </xdr:nvCxnSpPr>
      <xdr:spPr>
        <a:xfrm>
          <a:off x="10344446" y="167777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217414</xdr:colOff>
      <xdr:row>32</xdr:row>
      <xdr:rowOff>44129</xdr:rowOff>
    </xdr:from>
    <xdr:ext cx="357790" cy="285527"/>
    <xdr:sp macro="" textlink="">
      <xdr:nvSpPr>
        <xdr:cNvPr id="268" name="テキスト ボックス 267">
          <a:extLst>
            <a:ext uri="{FF2B5EF4-FFF2-40B4-BE49-F238E27FC236}">
              <a16:creationId xmlns:a16="http://schemas.microsoft.com/office/drawing/2014/main" id="{535A198E-A84B-4BD5-A1D6-6459877075A2}"/>
            </a:ext>
          </a:extLst>
        </xdr:cNvPr>
        <xdr:cNvSpPr txBox="1"/>
      </xdr:nvSpPr>
      <xdr:spPr>
        <a:xfrm>
          <a:off x="9302799" y="1406937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8</xdr:col>
      <xdr:colOff>16502</xdr:colOff>
      <xdr:row>30</xdr:row>
      <xdr:rowOff>11118</xdr:rowOff>
    </xdr:from>
    <xdr:ext cx="1190628" cy="0"/>
    <xdr:cxnSp macro="">
      <xdr:nvCxnSpPr>
        <xdr:cNvPr id="271" name="直線コネクタ 270">
          <a:extLst>
            <a:ext uri="{FF2B5EF4-FFF2-40B4-BE49-F238E27FC236}">
              <a16:creationId xmlns:a16="http://schemas.microsoft.com/office/drawing/2014/main" id="{C5BA1AD3-CF27-47E8-9020-0A0EC10F4502}"/>
            </a:ext>
          </a:extLst>
        </xdr:cNvPr>
        <xdr:cNvCxnSpPr/>
      </xdr:nvCxnSpPr>
      <xdr:spPr>
        <a:xfrm>
          <a:off x="9556156" y="919656"/>
          <a:ext cx="1190628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11</xdr:col>
      <xdr:colOff>43143</xdr:colOff>
      <xdr:row>30</xdr:row>
      <xdr:rowOff>10352</xdr:rowOff>
    </xdr:from>
    <xdr:ext cx="149947" cy="538030"/>
    <xdr:cxnSp macro="">
      <xdr:nvCxnSpPr>
        <xdr:cNvPr id="272" name="直線コネクタ 271">
          <a:extLst>
            <a:ext uri="{FF2B5EF4-FFF2-40B4-BE49-F238E27FC236}">
              <a16:creationId xmlns:a16="http://schemas.microsoft.com/office/drawing/2014/main" id="{5AD94761-06C4-4BA8-998A-3CC76FD59CBA}"/>
            </a:ext>
          </a:extLst>
        </xdr:cNvPr>
        <xdr:cNvCxnSpPr/>
      </xdr:nvCxnSpPr>
      <xdr:spPr>
        <a:xfrm flipH="1">
          <a:off x="10264201" y="918890"/>
          <a:ext cx="149947" cy="53803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100885</xdr:colOff>
      <xdr:row>30</xdr:row>
      <xdr:rowOff>8433</xdr:rowOff>
    </xdr:from>
    <xdr:ext cx="0" cy="540001"/>
    <xdr:cxnSp macro="">
      <xdr:nvCxnSpPr>
        <xdr:cNvPr id="273" name="直線コネクタ 272">
          <a:extLst>
            <a:ext uri="{FF2B5EF4-FFF2-40B4-BE49-F238E27FC236}">
              <a16:creationId xmlns:a16="http://schemas.microsoft.com/office/drawing/2014/main" id="{1058A93C-B976-4DFE-A605-A63A95CF9341}"/>
            </a:ext>
          </a:extLst>
        </xdr:cNvPr>
        <xdr:cNvCxnSpPr/>
      </xdr:nvCxnSpPr>
      <xdr:spPr>
        <a:xfrm>
          <a:off x="9186270" y="916971"/>
          <a:ext cx="0" cy="540001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7</xdr:col>
      <xdr:colOff>92787</xdr:colOff>
      <xdr:row>28</xdr:row>
      <xdr:rowOff>138034</xdr:rowOff>
    </xdr:from>
    <xdr:ext cx="251385" cy="866082"/>
    <xdr:cxnSp macro="">
      <xdr:nvCxnSpPr>
        <xdr:cNvPr id="274" name="直線コネクタ 273">
          <a:extLst>
            <a:ext uri="{FF2B5EF4-FFF2-40B4-BE49-F238E27FC236}">
              <a16:creationId xmlns:a16="http://schemas.microsoft.com/office/drawing/2014/main" id="{27367C12-9611-416C-8BD2-27CB74D67D56}"/>
            </a:ext>
          </a:extLst>
        </xdr:cNvPr>
        <xdr:cNvCxnSpPr/>
      </xdr:nvCxnSpPr>
      <xdr:spPr>
        <a:xfrm flipH="1">
          <a:off x="9405306" y="592303"/>
          <a:ext cx="251385" cy="866082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7</xdr:col>
      <xdr:colOff>90057</xdr:colOff>
      <xdr:row>32</xdr:row>
      <xdr:rowOff>87758</xdr:rowOff>
    </xdr:from>
    <xdr:ext cx="1176035" cy="0"/>
    <xdr:cxnSp macro="">
      <xdr:nvCxnSpPr>
        <xdr:cNvPr id="275" name="直線コネクタ 274">
          <a:extLst>
            <a:ext uri="{FF2B5EF4-FFF2-40B4-BE49-F238E27FC236}">
              <a16:creationId xmlns:a16="http://schemas.microsoft.com/office/drawing/2014/main" id="{C2E2C462-CBD7-44FD-91B8-8726B8385236}"/>
            </a:ext>
          </a:extLst>
        </xdr:cNvPr>
        <xdr:cNvCxnSpPr/>
      </xdr:nvCxnSpPr>
      <xdr:spPr>
        <a:xfrm>
          <a:off x="9402576" y="1450566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</xdr:col>
      <xdr:colOff>47131</xdr:colOff>
      <xdr:row>32</xdr:row>
      <xdr:rowOff>89171</xdr:rowOff>
    </xdr:from>
    <xdr:ext cx="167606" cy="0"/>
    <xdr:cxnSp macro="">
      <xdr:nvCxnSpPr>
        <xdr:cNvPr id="276" name="直線コネクタ 275">
          <a:extLst>
            <a:ext uri="{FF2B5EF4-FFF2-40B4-BE49-F238E27FC236}">
              <a16:creationId xmlns:a16="http://schemas.microsoft.com/office/drawing/2014/main" id="{62111BCD-A17E-47F0-94D8-2ECACCA46185}"/>
            </a:ext>
          </a:extLst>
        </xdr:cNvPr>
        <xdr:cNvCxnSpPr/>
      </xdr:nvCxnSpPr>
      <xdr:spPr>
        <a:xfrm>
          <a:off x="9132516" y="1451979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5</xdr:col>
      <xdr:colOff>80580</xdr:colOff>
      <xdr:row>30</xdr:row>
      <xdr:rowOff>44465</xdr:rowOff>
    </xdr:from>
    <xdr:ext cx="224998" cy="444352"/>
    <xdr:sp macro="" textlink="$AF$7">
      <xdr:nvSpPr>
        <xdr:cNvPr id="277" name="テキスト ボックス 276">
          <a:extLst>
            <a:ext uri="{FF2B5EF4-FFF2-40B4-BE49-F238E27FC236}">
              <a16:creationId xmlns:a16="http://schemas.microsoft.com/office/drawing/2014/main" id="{1CE5493E-6D45-46A5-9FEB-CE9469E774E0}"/>
            </a:ext>
          </a:extLst>
        </xdr:cNvPr>
        <xdr:cNvSpPr txBox="1"/>
      </xdr:nvSpPr>
      <xdr:spPr>
        <a:xfrm rot="16200000">
          <a:off x="8829153" y="10626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DD545BB-E425-40A1-91BC-957E5A8C181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0.500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7</xdr:col>
      <xdr:colOff>79120</xdr:colOff>
      <xdr:row>33</xdr:row>
      <xdr:rowOff>77570</xdr:rowOff>
    </xdr:from>
    <xdr:ext cx="0" cy="161293"/>
    <xdr:cxnSp macro="">
      <xdr:nvCxnSpPr>
        <xdr:cNvPr id="278" name="直線コネクタ 277">
          <a:extLst>
            <a:ext uri="{FF2B5EF4-FFF2-40B4-BE49-F238E27FC236}">
              <a16:creationId xmlns:a16="http://schemas.microsoft.com/office/drawing/2014/main" id="{0682CB74-50AF-433A-9D31-672A30C05DA4}"/>
            </a:ext>
          </a:extLst>
        </xdr:cNvPr>
        <xdr:cNvCxnSpPr/>
      </xdr:nvCxnSpPr>
      <xdr:spPr>
        <a:xfrm>
          <a:off x="9451720" y="167777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7</xdr:col>
      <xdr:colOff>71034</xdr:colOff>
      <xdr:row>33</xdr:row>
      <xdr:rowOff>186692</xdr:rowOff>
    </xdr:from>
    <xdr:ext cx="908238" cy="0"/>
    <xdr:cxnSp macro="">
      <xdr:nvCxnSpPr>
        <xdr:cNvPr id="279" name="直線コネクタ 278">
          <a:extLst>
            <a:ext uri="{FF2B5EF4-FFF2-40B4-BE49-F238E27FC236}">
              <a16:creationId xmlns:a16="http://schemas.microsoft.com/office/drawing/2014/main" id="{BC008253-E851-4C63-841A-5F275DB7A939}"/>
            </a:ext>
          </a:extLst>
        </xdr:cNvPr>
        <xdr:cNvCxnSpPr/>
      </xdr:nvCxnSpPr>
      <xdr:spPr>
        <a:xfrm>
          <a:off x="9443634" y="1786892"/>
          <a:ext cx="90823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8</xdr:col>
      <xdr:colOff>177082</xdr:colOff>
      <xdr:row>33</xdr:row>
      <xdr:rowOff>178282</xdr:rowOff>
    </xdr:from>
    <xdr:ext cx="444352" cy="224998"/>
    <xdr:sp macro="" textlink="$AF$22">
      <xdr:nvSpPr>
        <xdr:cNvPr id="280" name="テキスト ボックス 279">
          <a:extLst>
            <a:ext uri="{FF2B5EF4-FFF2-40B4-BE49-F238E27FC236}">
              <a16:creationId xmlns:a16="http://schemas.microsoft.com/office/drawing/2014/main" id="{EA4D527D-E116-4B07-9ED1-1A5031707D1F}"/>
            </a:ext>
          </a:extLst>
        </xdr:cNvPr>
        <xdr:cNvSpPr txBox="1"/>
      </xdr:nvSpPr>
      <xdr:spPr>
        <a:xfrm>
          <a:off x="9778282" y="177848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7</xdr:col>
      <xdr:colOff>154531</xdr:colOff>
      <xdr:row>33</xdr:row>
      <xdr:rowOff>177762</xdr:rowOff>
    </xdr:from>
    <xdr:ext cx="370935" cy="224998"/>
    <xdr:sp macro="" textlink="">
      <xdr:nvSpPr>
        <xdr:cNvPr id="281" name="テキスト ボックス 280">
          <a:extLst>
            <a:ext uri="{FF2B5EF4-FFF2-40B4-BE49-F238E27FC236}">
              <a16:creationId xmlns:a16="http://schemas.microsoft.com/office/drawing/2014/main" id="{AC618707-8778-4FC7-89BF-D4A0BF476E81}"/>
            </a:ext>
          </a:extLst>
        </xdr:cNvPr>
        <xdr:cNvSpPr txBox="1"/>
      </xdr:nvSpPr>
      <xdr:spPr>
        <a:xfrm>
          <a:off x="1531993" y="7753800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</xdr:col>
      <xdr:colOff>19587</xdr:colOff>
      <xdr:row>33</xdr:row>
      <xdr:rowOff>85938</xdr:rowOff>
    </xdr:from>
    <xdr:ext cx="0" cy="158183"/>
    <xdr:cxnSp macro="">
      <xdr:nvCxnSpPr>
        <xdr:cNvPr id="282" name="直線コネクタ 281">
          <a:extLst>
            <a:ext uri="{FF2B5EF4-FFF2-40B4-BE49-F238E27FC236}">
              <a16:creationId xmlns:a16="http://schemas.microsoft.com/office/drawing/2014/main" id="{9579B665-2956-4B04-800C-D496423AA14A}"/>
            </a:ext>
          </a:extLst>
        </xdr:cNvPr>
        <xdr:cNvCxnSpPr/>
      </xdr:nvCxnSpPr>
      <xdr:spPr>
        <a:xfrm>
          <a:off x="10763787" y="1686138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</xdr:col>
      <xdr:colOff>122675</xdr:colOff>
      <xdr:row>33</xdr:row>
      <xdr:rowOff>186697</xdr:rowOff>
    </xdr:from>
    <xdr:ext cx="126128" cy="0"/>
    <xdr:cxnSp macro="">
      <xdr:nvCxnSpPr>
        <xdr:cNvPr id="283" name="直線コネクタ 282">
          <a:extLst>
            <a:ext uri="{FF2B5EF4-FFF2-40B4-BE49-F238E27FC236}">
              <a16:creationId xmlns:a16="http://schemas.microsoft.com/office/drawing/2014/main" id="{058377A2-2040-4F54-AB6C-02264CD64A1F}"/>
            </a:ext>
          </a:extLst>
        </xdr:cNvPr>
        <xdr:cNvCxnSpPr/>
      </xdr:nvCxnSpPr>
      <xdr:spPr>
        <a:xfrm>
          <a:off x="10638275" y="1786897"/>
          <a:ext cx="12612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</xdr:col>
      <xdr:colOff>200422</xdr:colOff>
      <xdr:row>33</xdr:row>
      <xdr:rowOff>62067</xdr:rowOff>
    </xdr:from>
    <xdr:ext cx="370935" cy="224998"/>
    <xdr:sp macro="" textlink="">
      <xdr:nvSpPr>
        <xdr:cNvPr id="284" name="テキスト ボックス 283">
          <a:extLst>
            <a:ext uri="{FF2B5EF4-FFF2-40B4-BE49-F238E27FC236}">
              <a16:creationId xmlns:a16="http://schemas.microsoft.com/office/drawing/2014/main" id="{CB574C38-2C43-4ACF-95EC-50FB297A07F0}"/>
            </a:ext>
          </a:extLst>
        </xdr:cNvPr>
        <xdr:cNvSpPr txBox="1"/>
      </xdr:nvSpPr>
      <xdr:spPr>
        <a:xfrm>
          <a:off x="10716022" y="1662267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₂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</xdr:col>
      <xdr:colOff>181658</xdr:colOff>
      <xdr:row>33</xdr:row>
      <xdr:rowOff>67464</xdr:rowOff>
    </xdr:from>
    <xdr:ext cx="444352" cy="224998"/>
    <xdr:sp macro="" textlink="$AF$10">
      <xdr:nvSpPr>
        <xdr:cNvPr id="285" name="テキスト ボックス 284">
          <a:extLst>
            <a:ext uri="{FF2B5EF4-FFF2-40B4-BE49-F238E27FC236}">
              <a16:creationId xmlns:a16="http://schemas.microsoft.com/office/drawing/2014/main" id="{F86094CA-9B96-404C-9DFC-B2718C674980}"/>
            </a:ext>
          </a:extLst>
        </xdr:cNvPr>
        <xdr:cNvSpPr txBox="1"/>
      </xdr:nvSpPr>
      <xdr:spPr>
        <a:xfrm>
          <a:off x="10925858" y="166766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4EE245-A500-4B65-ADAC-64F54D1205CB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</xdr:col>
      <xdr:colOff>165228</xdr:colOff>
      <xdr:row>30</xdr:row>
      <xdr:rowOff>155862</xdr:rowOff>
    </xdr:from>
    <xdr:ext cx="224998" cy="403637"/>
    <xdr:sp macro="" textlink="">
      <xdr:nvSpPr>
        <xdr:cNvPr id="286" name="テキスト ボックス 285">
          <a:extLst>
            <a:ext uri="{FF2B5EF4-FFF2-40B4-BE49-F238E27FC236}">
              <a16:creationId xmlns:a16="http://schemas.microsoft.com/office/drawing/2014/main" id="{5126FB28-78D5-4F4C-B06C-0678EA4EF468}"/>
            </a:ext>
          </a:extLst>
        </xdr:cNvPr>
        <xdr:cNvSpPr txBox="1"/>
      </xdr:nvSpPr>
      <xdr:spPr>
        <a:xfrm rot="16200000">
          <a:off x="8707023" y="1153720"/>
          <a:ext cx="403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</xdr:col>
      <xdr:colOff>130230</xdr:colOff>
      <xdr:row>28</xdr:row>
      <xdr:rowOff>143896</xdr:rowOff>
    </xdr:from>
    <xdr:ext cx="239740" cy="860220"/>
    <xdr:cxnSp macro="">
      <xdr:nvCxnSpPr>
        <xdr:cNvPr id="287" name="直線コネクタ 286">
          <a:extLst>
            <a:ext uri="{FF2B5EF4-FFF2-40B4-BE49-F238E27FC236}">
              <a16:creationId xmlns:a16="http://schemas.microsoft.com/office/drawing/2014/main" id="{5C5BF07C-0C36-4B30-B61C-9E16B7B56DD3}"/>
            </a:ext>
          </a:extLst>
        </xdr:cNvPr>
        <xdr:cNvCxnSpPr/>
      </xdr:nvCxnSpPr>
      <xdr:spPr>
        <a:xfrm flipH="1">
          <a:off x="10578422" y="598165"/>
          <a:ext cx="239740" cy="86022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11</xdr:col>
      <xdr:colOff>47652</xdr:colOff>
      <xdr:row>30</xdr:row>
      <xdr:rowOff>1966</xdr:rowOff>
    </xdr:from>
    <xdr:to>
      <xdr:col>13</xdr:col>
      <xdr:colOff>50150</xdr:colOff>
      <xdr:row>32</xdr:row>
      <xdr:rowOff>86664</xdr:rowOff>
    </xdr:to>
    <xdr:sp macro="" textlink="">
      <xdr:nvSpPr>
        <xdr:cNvPr id="288" name="平行四辺形 287">
          <a:extLst>
            <a:ext uri="{FF2B5EF4-FFF2-40B4-BE49-F238E27FC236}">
              <a16:creationId xmlns:a16="http://schemas.microsoft.com/office/drawing/2014/main" id="{B2CDAE74-98BD-4AFF-90ED-6C490658225F}"/>
            </a:ext>
          </a:extLst>
        </xdr:cNvPr>
        <xdr:cNvSpPr/>
      </xdr:nvSpPr>
      <xdr:spPr>
        <a:xfrm>
          <a:off x="10334652" y="916366"/>
          <a:ext cx="459698" cy="541899"/>
        </a:xfrm>
        <a:prstGeom prst="parallelogram">
          <a:avLst>
            <a:gd name="adj" fmla="val 33308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11</xdr:col>
      <xdr:colOff>62957</xdr:colOff>
      <xdr:row>33</xdr:row>
      <xdr:rowOff>186692</xdr:rowOff>
    </xdr:from>
    <xdr:ext cx="288000" cy="0"/>
    <xdr:cxnSp macro="">
      <xdr:nvCxnSpPr>
        <xdr:cNvPr id="289" name="直線コネクタ 288">
          <a:extLst>
            <a:ext uri="{FF2B5EF4-FFF2-40B4-BE49-F238E27FC236}">
              <a16:creationId xmlns:a16="http://schemas.microsoft.com/office/drawing/2014/main" id="{6084BC03-5C68-A735-F2CF-68E3DEBB5F93}"/>
            </a:ext>
          </a:extLst>
        </xdr:cNvPr>
        <xdr:cNvCxnSpPr/>
      </xdr:nvCxnSpPr>
      <xdr:spPr>
        <a:xfrm>
          <a:off x="10349957" y="1786892"/>
          <a:ext cx="288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12</xdr:col>
      <xdr:colOff>124896</xdr:colOff>
      <xdr:row>33</xdr:row>
      <xdr:rowOff>77570</xdr:rowOff>
    </xdr:from>
    <xdr:ext cx="0" cy="161293"/>
    <xdr:cxnSp macro="">
      <xdr:nvCxnSpPr>
        <xdr:cNvPr id="290" name="直線コネクタ 289">
          <a:extLst>
            <a:ext uri="{FF2B5EF4-FFF2-40B4-BE49-F238E27FC236}">
              <a16:creationId xmlns:a16="http://schemas.microsoft.com/office/drawing/2014/main" id="{B8B1F11A-CE70-7BEB-1190-6EE95BFBE3D7}"/>
            </a:ext>
          </a:extLst>
        </xdr:cNvPr>
        <xdr:cNvCxnSpPr/>
      </xdr:nvCxnSpPr>
      <xdr:spPr>
        <a:xfrm>
          <a:off x="10640496" y="167777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</xdr:col>
      <xdr:colOff>225339</xdr:colOff>
      <xdr:row>33</xdr:row>
      <xdr:rowOff>187121</xdr:rowOff>
    </xdr:from>
    <xdr:ext cx="444352" cy="224998"/>
    <xdr:sp macro="" textlink="$AF$34">
      <xdr:nvSpPr>
        <xdr:cNvPr id="292" name="テキスト ボックス 291">
          <a:extLst>
            <a:ext uri="{FF2B5EF4-FFF2-40B4-BE49-F238E27FC236}">
              <a16:creationId xmlns:a16="http://schemas.microsoft.com/office/drawing/2014/main" id="{9A4C8C18-034E-FE40-D418-256AC9DAA842}"/>
            </a:ext>
          </a:extLst>
        </xdr:cNvPr>
        <xdr:cNvSpPr txBox="1"/>
      </xdr:nvSpPr>
      <xdr:spPr>
        <a:xfrm>
          <a:off x="10399353" y="180571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ECEC293-0863-4796-8207-0CB563E70BE0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0.265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11</xdr:col>
      <xdr:colOff>24866</xdr:colOff>
      <xdr:row>32</xdr:row>
      <xdr:rowOff>229189</xdr:rowOff>
    </xdr:from>
    <xdr:ext cx="370935" cy="224998"/>
    <xdr:sp macro="" textlink="">
      <xdr:nvSpPr>
        <xdr:cNvPr id="293" name="テキスト ボックス 292">
          <a:extLst>
            <a:ext uri="{FF2B5EF4-FFF2-40B4-BE49-F238E27FC236}">
              <a16:creationId xmlns:a16="http://schemas.microsoft.com/office/drawing/2014/main" id="{F8A6CDFF-698C-B1C1-6581-C8C4C7CC88F8}"/>
            </a:ext>
          </a:extLst>
        </xdr:cNvPr>
        <xdr:cNvSpPr txBox="1"/>
      </xdr:nvSpPr>
      <xdr:spPr>
        <a:xfrm>
          <a:off x="2320635" y="7575651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₄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11</xdr:col>
      <xdr:colOff>30899</xdr:colOff>
      <xdr:row>34</xdr:row>
      <xdr:rowOff>223906</xdr:rowOff>
    </xdr:from>
    <xdr:ext cx="213520" cy="224998"/>
    <xdr:sp macro="" textlink="#REF!">
      <xdr:nvSpPr>
        <xdr:cNvPr id="294" name="テキスト ボックス 293">
          <a:extLst>
            <a:ext uri="{FF2B5EF4-FFF2-40B4-BE49-F238E27FC236}">
              <a16:creationId xmlns:a16="http://schemas.microsoft.com/office/drawing/2014/main" id="{F320B91A-2B2F-C5D8-423A-D3980E0166A9}"/>
            </a:ext>
          </a:extLst>
        </xdr:cNvPr>
        <xdr:cNvSpPr txBox="1"/>
      </xdr:nvSpPr>
      <xdr:spPr>
        <a:xfrm>
          <a:off x="2316899" y="7996306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F8AEBC5-C2DD-49A5-B5E9-F3DC7954F008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43</xdr:col>
      <xdr:colOff>108642</xdr:colOff>
      <xdr:row>4</xdr:row>
      <xdr:rowOff>42783</xdr:rowOff>
    </xdr:from>
    <xdr:ext cx="1188001" cy="0"/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64E02384-FD3F-4E3B-9C05-6177AB953F11}"/>
            </a:ext>
          </a:extLst>
        </xdr:cNvPr>
        <xdr:cNvCxnSpPr/>
      </xdr:nvCxnSpPr>
      <xdr:spPr>
        <a:xfrm>
          <a:off x="9709842" y="728583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4</xdr:row>
      <xdr:rowOff>46594</xdr:rowOff>
    </xdr:from>
    <xdr:ext cx="167606" cy="0"/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1DEC1198-D428-488F-9877-17FF3703152D}"/>
            </a:ext>
          </a:extLst>
        </xdr:cNvPr>
        <xdr:cNvCxnSpPr/>
      </xdr:nvCxnSpPr>
      <xdr:spPr>
        <a:xfrm>
          <a:off x="8986344" y="732394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47</xdr:col>
      <xdr:colOff>72190</xdr:colOff>
      <xdr:row>3</xdr:row>
      <xdr:rowOff>666</xdr:rowOff>
    </xdr:from>
    <xdr:ext cx="0" cy="161293"/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5B6A6C9F-7501-4E94-9FC1-A6B7395CEA39}"/>
            </a:ext>
          </a:extLst>
        </xdr:cNvPr>
        <xdr:cNvCxnSpPr/>
      </xdr:nvCxnSpPr>
      <xdr:spPr>
        <a:xfrm>
          <a:off x="10587790" y="457866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109919</xdr:colOff>
      <xdr:row>8</xdr:row>
      <xdr:rowOff>198363</xdr:rowOff>
    </xdr:from>
    <xdr:ext cx="357790" cy="285527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F594F2F-8E5E-413E-905B-7194AAACBBF4}"/>
            </a:ext>
          </a:extLst>
        </xdr:cNvPr>
        <xdr:cNvSpPr txBox="1"/>
      </xdr:nvSpPr>
      <xdr:spPr>
        <a:xfrm>
          <a:off x="9253919" y="1798563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45</xdr:col>
      <xdr:colOff>214966</xdr:colOff>
      <xdr:row>4</xdr:row>
      <xdr:rowOff>55108</xdr:rowOff>
    </xdr:from>
    <xdr:ext cx="299968" cy="1076325"/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BF2C37D4-D2EA-4219-81D9-202CC1EDC145}"/>
            </a:ext>
          </a:extLst>
        </xdr:cNvPr>
        <xdr:cNvCxnSpPr/>
      </xdr:nvCxnSpPr>
      <xdr:spPr>
        <a:xfrm flipH="1">
          <a:off x="10273366" y="740908"/>
          <a:ext cx="299968" cy="107632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124698</xdr:colOff>
      <xdr:row>4</xdr:row>
      <xdr:rowOff>40097</xdr:rowOff>
    </xdr:from>
    <xdr:ext cx="0" cy="1080000"/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55139652-C7EA-4258-8DDB-1801EDD9A555}"/>
            </a:ext>
          </a:extLst>
        </xdr:cNvPr>
        <xdr:cNvCxnSpPr/>
      </xdr:nvCxnSpPr>
      <xdr:spPr>
        <a:xfrm>
          <a:off x="9040098" y="725897"/>
          <a:ext cx="0" cy="1080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33655</xdr:colOff>
      <xdr:row>4</xdr:row>
      <xdr:rowOff>61628</xdr:rowOff>
    </xdr:from>
    <xdr:ext cx="310517" cy="1069805"/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A6766CF-C449-407F-811B-8933BF9B5DB4}"/>
            </a:ext>
          </a:extLst>
        </xdr:cNvPr>
        <xdr:cNvCxnSpPr/>
      </xdr:nvCxnSpPr>
      <xdr:spPr>
        <a:xfrm flipH="1">
          <a:off x="9406255" y="747428"/>
          <a:ext cx="310517" cy="106980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32907</xdr:colOff>
      <xdr:row>8</xdr:row>
      <xdr:rowOff>216140</xdr:rowOff>
    </xdr:from>
    <xdr:ext cx="1176035" cy="0"/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48815E82-8699-454F-89B7-C5473DF33E2C}"/>
            </a:ext>
          </a:extLst>
        </xdr:cNvPr>
        <xdr:cNvCxnSpPr/>
      </xdr:nvCxnSpPr>
      <xdr:spPr>
        <a:xfrm>
          <a:off x="9405507" y="1816340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8</xdr:row>
      <xdr:rowOff>212790</xdr:rowOff>
    </xdr:from>
    <xdr:ext cx="167606" cy="0"/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6F1D88E2-B0FC-463A-B0AD-2994F4081E4F}"/>
            </a:ext>
          </a:extLst>
        </xdr:cNvPr>
        <xdr:cNvCxnSpPr/>
      </xdr:nvCxnSpPr>
      <xdr:spPr>
        <a:xfrm>
          <a:off x="8986344" y="1812990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39</xdr:col>
      <xdr:colOff>104393</xdr:colOff>
      <xdr:row>4</xdr:row>
      <xdr:rowOff>153795</xdr:rowOff>
    </xdr:from>
    <xdr:ext cx="224998" cy="444352"/>
    <xdr:sp macro="" textlink="$BO$5">
      <xdr:nvSpPr>
        <xdr:cNvPr id="32" name="テキスト ボックス 31">
          <a:extLst>
            <a:ext uri="{FF2B5EF4-FFF2-40B4-BE49-F238E27FC236}">
              <a16:creationId xmlns:a16="http://schemas.microsoft.com/office/drawing/2014/main" id="{15D3D65E-8A5E-4967-AC58-B03EF2958D06}"/>
            </a:ext>
          </a:extLst>
        </xdr:cNvPr>
        <xdr:cNvSpPr txBox="1"/>
      </xdr:nvSpPr>
      <xdr:spPr>
        <a:xfrm rot="16200000">
          <a:off x="8511187" y="93582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7CE3AA0-E97F-4B1D-ACB3-363C5E6AEF6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1.000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43</xdr:col>
      <xdr:colOff>102030</xdr:colOff>
      <xdr:row>3</xdr:row>
      <xdr:rowOff>666</xdr:rowOff>
    </xdr:from>
    <xdr:ext cx="0" cy="161293"/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5A630A83-12C6-4CA5-8E8F-32ED22075784}"/>
            </a:ext>
          </a:extLst>
        </xdr:cNvPr>
        <xdr:cNvCxnSpPr/>
      </xdr:nvCxnSpPr>
      <xdr:spPr>
        <a:xfrm>
          <a:off x="9703230" y="457866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43</xdr:col>
      <xdr:colOff>92479</xdr:colOff>
      <xdr:row>3</xdr:row>
      <xdr:rowOff>33579</xdr:rowOff>
    </xdr:from>
    <xdr:ext cx="908238" cy="0"/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9A760BA-62F7-4A44-87D3-56C5E341947A}"/>
            </a:ext>
          </a:extLst>
        </xdr:cNvPr>
        <xdr:cNvCxnSpPr/>
      </xdr:nvCxnSpPr>
      <xdr:spPr>
        <a:xfrm>
          <a:off x="9693679" y="490779"/>
          <a:ext cx="90823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33833</xdr:colOff>
      <xdr:row>2</xdr:row>
      <xdr:rowOff>54478</xdr:rowOff>
    </xdr:from>
    <xdr:ext cx="444352" cy="224998"/>
    <xdr:sp macro="" textlink="$AF$22">
      <xdr:nvSpPr>
        <xdr:cNvPr id="35" name="テキスト ボックス 34">
          <a:extLst>
            <a:ext uri="{FF2B5EF4-FFF2-40B4-BE49-F238E27FC236}">
              <a16:creationId xmlns:a16="http://schemas.microsoft.com/office/drawing/2014/main" id="{B6569097-C281-44F2-8C60-B42B73A8E5C2}"/>
            </a:ext>
          </a:extLst>
        </xdr:cNvPr>
        <xdr:cNvSpPr txBox="1"/>
      </xdr:nvSpPr>
      <xdr:spPr>
        <a:xfrm>
          <a:off x="10092233" y="28307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44</xdr:col>
      <xdr:colOff>40589</xdr:colOff>
      <xdr:row>2</xdr:row>
      <xdr:rowOff>46630</xdr:rowOff>
    </xdr:from>
    <xdr:ext cx="370935" cy="224998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1F094BBB-A6CB-4A96-A4A6-6A8680B89B71}"/>
            </a:ext>
          </a:extLst>
        </xdr:cNvPr>
        <xdr:cNvSpPr txBox="1"/>
      </xdr:nvSpPr>
      <xdr:spPr>
        <a:xfrm>
          <a:off x="9870389" y="275230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42</xdr:col>
      <xdr:colOff>16183</xdr:colOff>
      <xdr:row>3</xdr:row>
      <xdr:rowOff>5317</xdr:rowOff>
    </xdr:from>
    <xdr:ext cx="0" cy="158183"/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3DE07CD8-18AF-485F-9ABA-50990E67542F}"/>
            </a:ext>
          </a:extLst>
        </xdr:cNvPr>
        <xdr:cNvCxnSpPr/>
      </xdr:nvCxnSpPr>
      <xdr:spPr>
        <a:xfrm>
          <a:off x="9388783" y="462517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11282</xdr:colOff>
      <xdr:row>3</xdr:row>
      <xdr:rowOff>33584</xdr:rowOff>
    </xdr:from>
    <xdr:ext cx="324000" cy="0"/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C115AC46-DB13-4414-9EA0-15F2E1FC56EE}"/>
            </a:ext>
          </a:extLst>
        </xdr:cNvPr>
        <xdr:cNvCxnSpPr/>
      </xdr:nvCxnSpPr>
      <xdr:spPr>
        <a:xfrm>
          <a:off x="9383882" y="490784"/>
          <a:ext cx="32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193079</xdr:colOff>
      <xdr:row>2</xdr:row>
      <xdr:rowOff>49299</xdr:rowOff>
    </xdr:from>
    <xdr:ext cx="370935" cy="224998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2C707AB5-7BA5-4C36-867B-961952037F30}"/>
            </a:ext>
          </a:extLst>
        </xdr:cNvPr>
        <xdr:cNvSpPr txBox="1"/>
      </xdr:nvSpPr>
      <xdr:spPr>
        <a:xfrm>
          <a:off x="9108479" y="277899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₅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41</xdr:col>
      <xdr:colOff>186928</xdr:colOff>
      <xdr:row>2</xdr:row>
      <xdr:rowOff>59733</xdr:rowOff>
    </xdr:from>
    <xdr:ext cx="444352" cy="224998"/>
    <xdr:sp macro="" textlink="$BO$9">
      <xdr:nvSpPr>
        <xdr:cNvPr id="40" name="テキスト ボックス 39">
          <a:extLst>
            <a:ext uri="{FF2B5EF4-FFF2-40B4-BE49-F238E27FC236}">
              <a16:creationId xmlns:a16="http://schemas.microsoft.com/office/drawing/2014/main" id="{702B75A4-CC1D-4ABD-82B5-68FC27864B17}"/>
            </a:ext>
          </a:extLst>
        </xdr:cNvPr>
        <xdr:cNvSpPr txBox="1"/>
      </xdr:nvSpPr>
      <xdr:spPr>
        <a:xfrm>
          <a:off x="9151634" y="28385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95A3C67-60C8-47C4-8900-28D814B8E098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39</xdr:col>
      <xdr:colOff>103317</xdr:colOff>
      <xdr:row>5</xdr:row>
      <xdr:rowOff>223886</xdr:rowOff>
    </xdr:from>
    <xdr:ext cx="224998" cy="410049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8D81D0D1-BBB5-49F5-975F-B2F4077CE8F0}"/>
            </a:ext>
          </a:extLst>
        </xdr:cNvPr>
        <xdr:cNvSpPr txBox="1"/>
      </xdr:nvSpPr>
      <xdr:spPr>
        <a:xfrm rot="16200000">
          <a:off x="8697591" y="1230812"/>
          <a:ext cx="410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76200</xdr:colOff>
      <xdr:row>4</xdr:row>
      <xdr:rowOff>67490</xdr:rowOff>
    </xdr:from>
    <xdr:ext cx="293770" cy="1054087"/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2FC51263-AEE3-432D-9FBE-A8B63A342831}"/>
            </a:ext>
          </a:extLst>
        </xdr:cNvPr>
        <xdr:cNvCxnSpPr/>
      </xdr:nvCxnSpPr>
      <xdr:spPr>
        <a:xfrm flipH="1">
          <a:off x="10591800" y="753290"/>
          <a:ext cx="293770" cy="105408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42</xdr:col>
      <xdr:colOff>30668</xdr:colOff>
      <xdr:row>4</xdr:row>
      <xdr:rowOff>44818</xdr:rowOff>
    </xdr:from>
    <xdr:to>
      <xdr:col>47</xdr:col>
      <xdr:colOff>63190</xdr:colOff>
      <xdr:row>8</xdr:row>
      <xdr:rowOff>219125</xdr:rowOff>
    </xdr:to>
    <xdr:sp macro="" textlink="">
      <xdr:nvSpPr>
        <xdr:cNvPr id="43" name="平行四辺形 42">
          <a:extLst>
            <a:ext uri="{FF2B5EF4-FFF2-40B4-BE49-F238E27FC236}">
              <a16:creationId xmlns:a16="http://schemas.microsoft.com/office/drawing/2014/main" id="{C44A4008-3B4D-4D68-9912-8204C9DC8FDA}"/>
            </a:ext>
          </a:extLst>
        </xdr:cNvPr>
        <xdr:cNvSpPr/>
      </xdr:nvSpPr>
      <xdr:spPr>
        <a:xfrm>
          <a:off x="9403268" y="730618"/>
          <a:ext cx="1175522" cy="1088707"/>
        </a:xfrm>
        <a:prstGeom prst="parallelogram">
          <a:avLst>
            <a:gd name="adj" fmla="val 28525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43</xdr:col>
      <xdr:colOff>108642</xdr:colOff>
      <xdr:row>15</xdr:row>
      <xdr:rowOff>113257</xdr:rowOff>
    </xdr:from>
    <xdr:ext cx="1188001" cy="0"/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FD91BF72-0964-49C0-B6DE-5D5DB785C981}"/>
            </a:ext>
          </a:extLst>
        </xdr:cNvPr>
        <xdr:cNvCxnSpPr/>
      </xdr:nvCxnSpPr>
      <xdr:spPr>
        <a:xfrm>
          <a:off x="9686481" y="3305870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15</xdr:row>
      <xdr:rowOff>117068</xdr:rowOff>
    </xdr:from>
    <xdr:ext cx="167606" cy="0"/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BE7EA00A-60C3-4A26-AFD8-D6991D872D06}"/>
            </a:ext>
          </a:extLst>
        </xdr:cNvPr>
        <xdr:cNvCxnSpPr/>
      </xdr:nvCxnSpPr>
      <xdr:spPr>
        <a:xfrm>
          <a:off x="8964652" y="3309681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212753</xdr:colOff>
      <xdr:row>21</xdr:row>
      <xdr:rowOff>78538</xdr:rowOff>
    </xdr:from>
    <xdr:ext cx="0" cy="161293"/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5086D2BA-BF3D-4BFC-ABCE-50DE557B4570}"/>
            </a:ext>
          </a:extLst>
        </xdr:cNvPr>
        <xdr:cNvCxnSpPr/>
      </xdr:nvCxnSpPr>
      <xdr:spPr>
        <a:xfrm>
          <a:off x="10246680" y="4639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109919</xdr:colOff>
      <xdr:row>20</xdr:row>
      <xdr:rowOff>40792</xdr:rowOff>
    </xdr:from>
    <xdr:ext cx="357790" cy="285527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B9C36790-E00C-469C-9345-CF886EDE525B}"/>
            </a:ext>
          </a:extLst>
        </xdr:cNvPr>
        <xdr:cNvSpPr txBox="1"/>
      </xdr:nvSpPr>
      <xdr:spPr>
        <a:xfrm>
          <a:off x="9231671" y="4373624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45</xdr:col>
      <xdr:colOff>214966</xdr:colOff>
      <xdr:row>15</xdr:row>
      <xdr:rowOff>125582</xdr:rowOff>
    </xdr:from>
    <xdr:ext cx="299968" cy="1076325"/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45DACB0F-ECCA-49CB-9EAE-ABD4FE64A0B8}"/>
            </a:ext>
          </a:extLst>
        </xdr:cNvPr>
        <xdr:cNvCxnSpPr/>
      </xdr:nvCxnSpPr>
      <xdr:spPr>
        <a:xfrm flipH="1">
          <a:off x="10248893" y="3318195"/>
          <a:ext cx="299968" cy="107632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124698</xdr:colOff>
      <xdr:row>15</xdr:row>
      <xdr:rowOff>110571</xdr:rowOff>
    </xdr:from>
    <xdr:ext cx="0" cy="1080000"/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296FAE5A-B663-4F89-AEBB-7094BDC90479}"/>
            </a:ext>
          </a:extLst>
        </xdr:cNvPr>
        <xdr:cNvCxnSpPr/>
      </xdr:nvCxnSpPr>
      <xdr:spPr>
        <a:xfrm>
          <a:off x="9018406" y="3303184"/>
          <a:ext cx="0" cy="1080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33655</xdr:colOff>
      <xdr:row>15</xdr:row>
      <xdr:rowOff>132102</xdr:rowOff>
    </xdr:from>
    <xdr:ext cx="310517" cy="1069805"/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AC8FF2DE-F770-4804-80D0-F4DE825AA4D5}"/>
            </a:ext>
          </a:extLst>
        </xdr:cNvPr>
        <xdr:cNvCxnSpPr/>
      </xdr:nvCxnSpPr>
      <xdr:spPr>
        <a:xfrm flipH="1">
          <a:off x="9383451" y="3324715"/>
          <a:ext cx="310517" cy="106980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32907</xdr:colOff>
      <xdr:row>20</xdr:row>
      <xdr:rowOff>58569</xdr:rowOff>
    </xdr:from>
    <xdr:ext cx="1176035" cy="0"/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19A6A45C-588A-4A2A-A32C-8CCD41FE0079}"/>
            </a:ext>
          </a:extLst>
        </xdr:cNvPr>
        <xdr:cNvCxnSpPr/>
      </xdr:nvCxnSpPr>
      <xdr:spPr>
        <a:xfrm>
          <a:off x="9382703" y="4391401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70944</xdr:colOff>
      <xdr:row>20</xdr:row>
      <xdr:rowOff>55219</xdr:rowOff>
    </xdr:from>
    <xdr:ext cx="167606" cy="0"/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EED7D7A4-A2C3-47F9-BC4D-C5557EB07E6A}"/>
            </a:ext>
          </a:extLst>
        </xdr:cNvPr>
        <xdr:cNvCxnSpPr/>
      </xdr:nvCxnSpPr>
      <xdr:spPr>
        <a:xfrm>
          <a:off x="8964652" y="4388051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39</xdr:col>
      <xdr:colOff>104393</xdr:colOff>
      <xdr:row>15</xdr:row>
      <xdr:rowOff>224269</xdr:rowOff>
    </xdr:from>
    <xdr:ext cx="224998" cy="444352"/>
    <xdr:sp macro="" textlink="$BO$18">
      <xdr:nvSpPr>
        <xdr:cNvPr id="51" name="テキスト ボックス 50">
          <a:extLst>
            <a:ext uri="{FF2B5EF4-FFF2-40B4-BE49-F238E27FC236}">
              <a16:creationId xmlns:a16="http://schemas.microsoft.com/office/drawing/2014/main" id="{7E56F82A-1BCC-4960-AB7D-EF31A7765B3F}"/>
            </a:ext>
          </a:extLst>
        </xdr:cNvPr>
        <xdr:cNvSpPr txBox="1"/>
      </xdr:nvSpPr>
      <xdr:spPr>
        <a:xfrm rot="16200000">
          <a:off x="8660380" y="352655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1E9A986-D2D2-4E0F-933F-57CD9246817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1.000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42</xdr:col>
      <xdr:colOff>13253</xdr:colOff>
      <xdr:row>21</xdr:row>
      <xdr:rowOff>78538</xdr:rowOff>
    </xdr:from>
    <xdr:ext cx="0" cy="161293"/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3F2B31CB-13CC-40F5-92C8-76344E946FC1}"/>
            </a:ext>
          </a:extLst>
        </xdr:cNvPr>
        <xdr:cNvCxnSpPr/>
      </xdr:nvCxnSpPr>
      <xdr:spPr>
        <a:xfrm>
          <a:off x="9363049" y="4639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3702</xdr:colOff>
      <xdr:row>21</xdr:row>
      <xdr:rowOff>170636</xdr:rowOff>
    </xdr:from>
    <xdr:ext cx="908238" cy="0"/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4A127B54-04C8-475A-A2B1-A48497EC151A}"/>
            </a:ext>
          </a:extLst>
        </xdr:cNvPr>
        <xdr:cNvCxnSpPr/>
      </xdr:nvCxnSpPr>
      <xdr:spPr>
        <a:xfrm>
          <a:off x="9353498" y="4731512"/>
          <a:ext cx="90823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43</xdr:col>
      <xdr:colOff>115211</xdr:colOff>
      <xdr:row>21</xdr:row>
      <xdr:rowOff>169340</xdr:rowOff>
    </xdr:from>
    <xdr:ext cx="444352" cy="224998"/>
    <xdr:sp macro="" textlink="$AF$22">
      <xdr:nvSpPr>
        <xdr:cNvPr id="63" name="テキスト ボックス 62">
          <a:extLst>
            <a:ext uri="{FF2B5EF4-FFF2-40B4-BE49-F238E27FC236}">
              <a16:creationId xmlns:a16="http://schemas.microsoft.com/office/drawing/2014/main" id="{95053D80-24AB-4829-8F4A-BA5F524F3462}"/>
            </a:ext>
          </a:extLst>
        </xdr:cNvPr>
        <xdr:cNvSpPr txBox="1"/>
      </xdr:nvSpPr>
      <xdr:spPr>
        <a:xfrm>
          <a:off x="9693050" y="473021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477B52-409D-4AE5-868E-87CF7ABFB041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0.835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42</xdr:col>
      <xdr:colOff>107171</xdr:colOff>
      <xdr:row>21</xdr:row>
      <xdr:rowOff>176288</xdr:rowOff>
    </xdr:from>
    <xdr:ext cx="370935" cy="224998"/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5B983C2-B02D-41FD-925E-54D62397CE73}"/>
            </a:ext>
          </a:extLst>
        </xdr:cNvPr>
        <xdr:cNvSpPr txBox="1"/>
      </xdr:nvSpPr>
      <xdr:spPr>
        <a:xfrm>
          <a:off x="9456967" y="4737164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₃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75367</xdr:colOff>
      <xdr:row>21</xdr:row>
      <xdr:rowOff>83189</xdr:rowOff>
    </xdr:from>
    <xdr:ext cx="0" cy="158183"/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C52665C1-D91E-472D-9097-3FC4ECB3335A}"/>
            </a:ext>
          </a:extLst>
        </xdr:cNvPr>
        <xdr:cNvCxnSpPr/>
      </xdr:nvCxnSpPr>
      <xdr:spPr>
        <a:xfrm>
          <a:off x="10565382" y="4644065"/>
          <a:ext cx="0" cy="15818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211029</xdr:colOff>
      <xdr:row>21</xdr:row>
      <xdr:rowOff>170641</xdr:rowOff>
    </xdr:from>
    <xdr:ext cx="324000" cy="0"/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9F29620E-2EBB-408D-A1BF-BDB7A50F42AC}"/>
            </a:ext>
          </a:extLst>
        </xdr:cNvPr>
        <xdr:cNvCxnSpPr/>
      </xdr:nvCxnSpPr>
      <xdr:spPr>
        <a:xfrm>
          <a:off x="10244956" y="4731517"/>
          <a:ext cx="32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45</xdr:col>
      <xdr:colOff>193079</xdr:colOff>
      <xdr:row>20</xdr:row>
      <xdr:rowOff>178957</xdr:rowOff>
    </xdr:from>
    <xdr:ext cx="370935" cy="224998"/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656E42C5-6527-4789-A547-D46C8E533279}"/>
            </a:ext>
          </a:extLst>
        </xdr:cNvPr>
        <xdr:cNvSpPr txBox="1"/>
      </xdr:nvSpPr>
      <xdr:spPr>
        <a:xfrm>
          <a:off x="10227006" y="4511789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₄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45</xdr:col>
      <xdr:colOff>164733</xdr:colOff>
      <xdr:row>21</xdr:row>
      <xdr:rowOff>181994</xdr:rowOff>
    </xdr:from>
    <xdr:ext cx="444352" cy="224998"/>
    <xdr:sp macro="" textlink="$AF$34">
      <xdr:nvSpPr>
        <xdr:cNvPr id="68" name="テキスト ボックス 67">
          <a:extLst>
            <a:ext uri="{FF2B5EF4-FFF2-40B4-BE49-F238E27FC236}">
              <a16:creationId xmlns:a16="http://schemas.microsoft.com/office/drawing/2014/main" id="{8CC80C6E-631A-4066-8085-2AB4FB16C8D3}"/>
            </a:ext>
          </a:extLst>
        </xdr:cNvPr>
        <xdr:cNvSpPr txBox="1"/>
      </xdr:nvSpPr>
      <xdr:spPr>
        <a:xfrm>
          <a:off x="10198660" y="474287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A93A2AC-EADF-4B90-994A-2C09C94304BF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0.265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39</xdr:col>
      <xdr:colOff>103317</xdr:colOff>
      <xdr:row>17</xdr:row>
      <xdr:rowOff>66316</xdr:rowOff>
    </xdr:from>
    <xdr:ext cx="224998" cy="410049"/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6FB3EA5B-096A-4495-A5EA-9ECF5F9467F0}"/>
            </a:ext>
          </a:extLst>
        </xdr:cNvPr>
        <xdr:cNvSpPr txBox="1"/>
      </xdr:nvSpPr>
      <xdr:spPr>
        <a:xfrm rot="16200000">
          <a:off x="8676455" y="3807543"/>
          <a:ext cx="410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76200</xdr:colOff>
      <xdr:row>15</xdr:row>
      <xdr:rowOff>137964</xdr:rowOff>
    </xdr:from>
    <xdr:ext cx="293770" cy="1054087"/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682C8468-5DB5-438F-B711-36B4AD84C86D}"/>
            </a:ext>
          </a:extLst>
        </xdr:cNvPr>
        <xdr:cNvCxnSpPr/>
      </xdr:nvCxnSpPr>
      <xdr:spPr>
        <a:xfrm flipH="1">
          <a:off x="10566215" y="3330577"/>
          <a:ext cx="293770" cy="105408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45</xdr:col>
      <xdr:colOff>212939</xdr:colOff>
      <xdr:row>15</xdr:row>
      <xdr:rowOff>115292</xdr:rowOff>
    </xdr:from>
    <xdr:to>
      <xdr:col>48</xdr:col>
      <xdr:colOff>148442</xdr:colOff>
      <xdr:row>20</xdr:row>
      <xdr:rowOff>61554</xdr:rowOff>
    </xdr:to>
    <xdr:sp macro="" textlink="">
      <xdr:nvSpPr>
        <xdr:cNvPr id="71" name="平行四辺形 70">
          <a:extLst>
            <a:ext uri="{FF2B5EF4-FFF2-40B4-BE49-F238E27FC236}">
              <a16:creationId xmlns:a16="http://schemas.microsoft.com/office/drawing/2014/main" id="{100DBFCD-7859-49FA-985B-61A6AD66C408}"/>
            </a:ext>
          </a:extLst>
        </xdr:cNvPr>
        <xdr:cNvSpPr/>
      </xdr:nvSpPr>
      <xdr:spPr>
        <a:xfrm>
          <a:off x="10246866" y="3307905"/>
          <a:ext cx="619634" cy="1086481"/>
        </a:xfrm>
        <a:prstGeom prst="parallelogram">
          <a:avLst>
            <a:gd name="adj" fmla="val 49427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48</xdr:col>
      <xdr:colOff>133894</xdr:colOff>
      <xdr:row>21</xdr:row>
      <xdr:rowOff>76680</xdr:rowOff>
    </xdr:from>
    <xdr:ext cx="370935" cy="224998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E4C696AC-8584-9FB1-5B86-D80B7F0D73F2}"/>
            </a:ext>
          </a:extLst>
        </xdr:cNvPr>
        <xdr:cNvSpPr txBox="1"/>
      </xdr:nvSpPr>
      <xdr:spPr>
        <a:xfrm>
          <a:off x="10851952" y="4637556"/>
          <a:ext cx="3709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₅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49</xdr:col>
      <xdr:colOff>127743</xdr:colOff>
      <xdr:row>21</xdr:row>
      <xdr:rowOff>78420</xdr:rowOff>
    </xdr:from>
    <xdr:ext cx="444352" cy="224998"/>
    <xdr:sp macro="" textlink="$BO$22">
      <xdr:nvSpPr>
        <xdr:cNvPr id="75" name="テキスト ボックス 74">
          <a:extLst>
            <a:ext uri="{FF2B5EF4-FFF2-40B4-BE49-F238E27FC236}">
              <a16:creationId xmlns:a16="http://schemas.microsoft.com/office/drawing/2014/main" id="{735C2139-1A89-8281-5F50-C4FC2B78945E}"/>
            </a:ext>
          </a:extLst>
        </xdr:cNvPr>
        <xdr:cNvSpPr txBox="1"/>
      </xdr:nvSpPr>
      <xdr:spPr>
        <a:xfrm>
          <a:off x="11073845" y="463929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DCD3D45-404A-4228-ADFD-93B194117D9C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63068</xdr:colOff>
      <xdr:row>21</xdr:row>
      <xdr:rowOff>170641</xdr:rowOff>
    </xdr:from>
    <xdr:ext cx="324000" cy="0"/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2A6B84E4-403A-B2BB-F597-162F3F3A39F4}"/>
            </a:ext>
          </a:extLst>
        </xdr:cNvPr>
        <xdr:cNvCxnSpPr/>
      </xdr:nvCxnSpPr>
      <xdr:spPr>
        <a:xfrm>
          <a:off x="10553083" y="4731517"/>
          <a:ext cx="32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48</xdr:col>
      <xdr:colOff>161214</xdr:colOff>
      <xdr:row>21</xdr:row>
      <xdr:rowOff>78538</xdr:rowOff>
    </xdr:from>
    <xdr:ext cx="0" cy="161293"/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22C0E64F-EBDC-AF2E-50DD-53FA2D9BD3D2}"/>
            </a:ext>
          </a:extLst>
        </xdr:cNvPr>
        <xdr:cNvCxnSpPr/>
      </xdr:nvCxnSpPr>
      <xdr:spPr>
        <a:xfrm>
          <a:off x="10879272" y="4639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43126</xdr:colOff>
      <xdr:row>30</xdr:row>
      <xdr:rowOff>199275</xdr:rowOff>
    </xdr:from>
    <xdr:ext cx="167606" cy="0"/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F275118D-7854-4DD2-8C21-AC3B533D977F}"/>
            </a:ext>
          </a:extLst>
        </xdr:cNvPr>
        <xdr:cNvCxnSpPr/>
      </xdr:nvCxnSpPr>
      <xdr:spPr>
        <a:xfrm>
          <a:off x="8936834" y="6812545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47</xdr:col>
      <xdr:colOff>174813</xdr:colOff>
      <xdr:row>33</xdr:row>
      <xdr:rowOff>102723</xdr:rowOff>
    </xdr:from>
    <xdr:ext cx="0" cy="161293"/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204D69BA-40BB-4597-9538-DE7E0FA59558}"/>
            </a:ext>
          </a:extLst>
        </xdr:cNvPr>
        <xdr:cNvCxnSpPr/>
      </xdr:nvCxnSpPr>
      <xdr:spPr>
        <a:xfrm>
          <a:off x="10719704" y="7438300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5134</xdr:colOff>
      <xdr:row>32</xdr:row>
      <xdr:rowOff>37226</xdr:rowOff>
    </xdr:from>
    <xdr:ext cx="357790" cy="285527"/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2BA2278A-A117-4F7C-8029-E63A88EC1C00}"/>
            </a:ext>
          </a:extLst>
        </xdr:cNvPr>
        <xdr:cNvSpPr txBox="1"/>
      </xdr:nvSpPr>
      <xdr:spPr>
        <a:xfrm>
          <a:off x="9149134" y="7123826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45</xdr:col>
      <xdr:colOff>214966</xdr:colOff>
      <xdr:row>28</xdr:row>
      <xdr:rowOff>36286</xdr:rowOff>
    </xdr:from>
    <xdr:ext cx="170673" cy="612398"/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E42F0A1B-8AB5-4C10-91A3-B8AF22DE46F6}"/>
            </a:ext>
          </a:extLst>
        </xdr:cNvPr>
        <xdr:cNvCxnSpPr/>
      </xdr:nvCxnSpPr>
      <xdr:spPr>
        <a:xfrm flipH="1">
          <a:off x="10433023" y="6306457"/>
          <a:ext cx="170673" cy="612398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135739</xdr:colOff>
      <xdr:row>32</xdr:row>
      <xdr:rowOff>38007</xdr:rowOff>
    </xdr:from>
    <xdr:ext cx="37664" cy="42986"/>
    <xdr:sp macro="" textlink="">
      <xdr:nvSpPr>
        <xdr:cNvPr id="82" name="楕円 81">
          <a:extLst>
            <a:ext uri="{FF2B5EF4-FFF2-40B4-BE49-F238E27FC236}">
              <a16:creationId xmlns:a16="http://schemas.microsoft.com/office/drawing/2014/main" id="{28B3B09E-2660-4BED-9DBD-0AD72847FA8A}"/>
            </a:ext>
          </a:extLst>
        </xdr:cNvPr>
        <xdr:cNvSpPr/>
      </xdr:nvSpPr>
      <xdr:spPr>
        <a:xfrm>
          <a:off x="9279739" y="7124607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40</xdr:col>
      <xdr:colOff>96880</xdr:colOff>
      <xdr:row>30</xdr:row>
      <xdr:rowOff>201266</xdr:rowOff>
    </xdr:from>
    <xdr:ext cx="0" cy="324000"/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5E6F6BFC-AFF2-400C-ABFE-2842CC7D7EE5}"/>
            </a:ext>
          </a:extLst>
        </xdr:cNvPr>
        <xdr:cNvCxnSpPr/>
      </xdr:nvCxnSpPr>
      <xdr:spPr>
        <a:xfrm>
          <a:off x="8990588" y="6814536"/>
          <a:ext cx="0" cy="32400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33655</xdr:colOff>
      <xdr:row>28</xdr:row>
      <xdr:rowOff>50800</xdr:rowOff>
    </xdr:from>
    <xdr:ext cx="173539" cy="597884"/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B44E1C8F-A400-4148-A192-9E946AE25B33}"/>
            </a:ext>
          </a:extLst>
        </xdr:cNvPr>
        <xdr:cNvCxnSpPr/>
      </xdr:nvCxnSpPr>
      <xdr:spPr>
        <a:xfrm flipH="1">
          <a:off x="9555026" y="6320971"/>
          <a:ext cx="173539" cy="597884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32907</xdr:colOff>
      <xdr:row>30</xdr:row>
      <xdr:rowOff>197847</xdr:rowOff>
    </xdr:from>
    <xdr:ext cx="1176035" cy="0"/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2627B716-6756-474E-8441-DE7366144514}"/>
            </a:ext>
          </a:extLst>
        </xdr:cNvPr>
        <xdr:cNvCxnSpPr/>
      </xdr:nvCxnSpPr>
      <xdr:spPr>
        <a:xfrm>
          <a:off x="9405507" y="6827247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40</xdr:col>
      <xdr:colOff>45249</xdr:colOff>
      <xdr:row>32</xdr:row>
      <xdr:rowOff>68947</xdr:rowOff>
    </xdr:from>
    <xdr:ext cx="167606" cy="0"/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711D3B3B-F312-404E-A073-FF43114D35DB}"/>
            </a:ext>
          </a:extLst>
        </xdr:cNvPr>
        <xdr:cNvCxnSpPr/>
      </xdr:nvCxnSpPr>
      <xdr:spPr>
        <a:xfrm>
          <a:off x="8938957" y="7138305"/>
          <a:ext cx="1676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39</xdr:col>
      <xdr:colOff>76575</xdr:colOff>
      <xdr:row>30</xdr:row>
      <xdr:rowOff>147921</xdr:rowOff>
    </xdr:from>
    <xdr:ext cx="224998" cy="444352"/>
    <xdr:sp macro="" textlink="$BO$31">
      <xdr:nvSpPr>
        <xdr:cNvPr id="90" name="テキスト ボックス 89">
          <a:extLst>
            <a:ext uri="{FF2B5EF4-FFF2-40B4-BE49-F238E27FC236}">
              <a16:creationId xmlns:a16="http://schemas.microsoft.com/office/drawing/2014/main" id="{BE3F156B-5F87-4E59-AFA8-00779CAD720E}"/>
            </a:ext>
          </a:extLst>
        </xdr:cNvPr>
        <xdr:cNvSpPr txBox="1"/>
      </xdr:nvSpPr>
      <xdr:spPr>
        <a:xfrm rot="16200000">
          <a:off x="8632562" y="687086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EF9093D-BA89-4771-8812-55301F26C278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en-US" altLang="en-US" sz="900" b="0" i="0" u="none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41</xdr:col>
      <xdr:colOff>146603</xdr:colOff>
      <xdr:row>33</xdr:row>
      <xdr:rowOff>102723</xdr:rowOff>
    </xdr:from>
    <xdr:ext cx="0" cy="161293"/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6D253B4E-A23D-4051-86DD-FA3C944DFDFD}"/>
            </a:ext>
          </a:extLst>
        </xdr:cNvPr>
        <xdr:cNvCxnSpPr/>
      </xdr:nvCxnSpPr>
      <xdr:spPr>
        <a:xfrm>
          <a:off x="9290603" y="7417923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41</xdr:col>
      <xdr:colOff>146578</xdr:colOff>
      <xdr:row>33</xdr:row>
      <xdr:rowOff>218169</xdr:rowOff>
    </xdr:from>
    <xdr:ext cx="1404000" cy="0"/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381F727E-8D29-4A05-A013-64F5E160A45C}"/>
            </a:ext>
          </a:extLst>
        </xdr:cNvPr>
        <xdr:cNvCxnSpPr/>
      </xdr:nvCxnSpPr>
      <xdr:spPr>
        <a:xfrm>
          <a:off x="9316049" y="7553746"/>
          <a:ext cx="1404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44</xdr:col>
      <xdr:colOff>96373</xdr:colOff>
      <xdr:row>33</xdr:row>
      <xdr:rowOff>210505</xdr:rowOff>
    </xdr:from>
    <xdr:ext cx="444352" cy="224998"/>
    <xdr:sp macro="" textlink="$BO$32">
      <xdr:nvSpPr>
        <xdr:cNvPr id="93" name="テキスト ボックス 92">
          <a:extLst>
            <a:ext uri="{FF2B5EF4-FFF2-40B4-BE49-F238E27FC236}">
              <a16:creationId xmlns:a16="http://schemas.microsoft.com/office/drawing/2014/main" id="{C31F46D3-997E-4C39-85FA-702E2EF65ABE}"/>
            </a:ext>
          </a:extLst>
        </xdr:cNvPr>
        <xdr:cNvSpPr txBox="1"/>
      </xdr:nvSpPr>
      <xdr:spPr>
        <a:xfrm>
          <a:off x="10068634" y="763172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7C39073-2660-4DF7-BB65-5034B68348C3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43</xdr:col>
      <xdr:colOff>113805</xdr:colOff>
      <xdr:row>33</xdr:row>
      <xdr:rowOff>213208</xdr:rowOff>
    </xdr:from>
    <xdr:ext cx="349135" cy="224998"/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81B01535-4406-4EDE-B493-7FB7FED622CA}"/>
            </a:ext>
          </a:extLst>
        </xdr:cNvPr>
        <xdr:cNvSpPr txBox="1"/>
      </xdr:nvSpPr>
      <xdr:spPr>
        <a:xfrm>
          <a:off x="9741749" y="7548785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39</xdr:col>
      <xdr:colOff>75499</xdr:colOff>
      <xdr:row>31</xdr:row>
      <xdr:rowOff>174503</xdr:rowOff>
    </xdr:from>
    <xdr:ext cx="224998" cy="412164"/>
    <xdr:sp macro="" textlink="">
      <xdr:nvSpPr>
        <xdr:cNvPr id="99" name="テキスト ボックス 98">
          <a:extLst>
            <a:ext uri="{FF2B5EF4-FFF2-40B4-BE49-F238E27FC236}">
              <a16:creationId xmlns:a16="http://schemas.microsoft.com/office/drawing/2014/main" id="{9D63D9FA-85E7-455D-B713-84278B4D37AA}"/>
            </a:ext>
          </a:extLst>
        </xdr:cNvPr>
        <xdr:cNvSpPr txBox="1"/>
      </xdr:nvSpPr>
      <xdr:spPr>
        <a:xfrm rot="16200000">
          <a:off x="8647580" y="7109400"/>
          <a:ext cx="4121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47</xdr:col>
      <xdr:colOff>76200</xdr:colOff>
      <xdr:row>28</xdr:row>
      <xdr:rowOff>29029</xdr:rowOff>
    </xdr:from>
    <xdr:ext cx="169949" cy="609799"/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9863AAF6-CA72-414A-A158-0CD119C27641}"/>
            </a:ext>
          </a:extLst>
        </xdr:cNvPr>
        <xdr:cNvCxnSpPr/>
      </xdr:nvCxnSpPr>
      <xdr:spPr>
        <a:xfrm flipH="1">
          <a:off x="10758714" y="6299200"/>
          <a:ext cx="169949" cy="609799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42</xdr:col>
      <xdr:colOff>23025</xdr:colOff>
      <xdr:row>8</xdr:row>
      <xdr:rowOff>202307</xdr:rowOff>
    </xdr:from>
    <xdr:ext cx="37664" cy="42986"/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60607942-DFC8-406D-9DB5-30B30BDCA49A}"/>
            </a:ext>
          </a:extLst>
        </xdr:cNvPr>
        <xdr:cNvSpPr/>
      </xdr:nvSpPr>
      <xdr:spPr>
        <a:xfrm>
          <a:off x="9372821" y="1798614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42</xdr:col>
      <xdr:colOff>17463</xdr:colOff>
      <xdr:row>20</xdr:row>
      <xdr:rowOff>44736</xdr:rowOff>
    </xdr:from>
    <xdr:ext cx="37664" cy="42986"/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6A904C5A-5104-4D7C-8900-A0401B21B35E}"/>
            </a:ext>
          </a:extLst>
        </xdr:cNvPr>
        <xdr:cNvSpPr/>
      </xdr:nvSpPr>
      <xdr:spPr>
        <a:xfrm>
          <a:off x="9367259" y="437756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7</xdr:col>
      <xdr:colOff>78576</xdr:colOff>
      <xdr:row>32</xdr:row>
      <xdr:rowOff>70761</xdr:rowOff>
    </xdr:from>
    <xdr:ext cx="37664" cy="42986"/>
    <xdr:sp macro="" textlink="">
      <xdr:nvSpPr>
        <xdr:cNvPr id="269" name="楕円 268">
          <a:extLst>
            <a:ext uri="{FF2B5EF4-FFF2-40B4-BE49-F238E27FC236}">
              <a16:creationId xmlns:a16="http://schemas.microsoft.com/office/drawing/2014/main" id="{A6397634-77B2-4CC1-A198-4ABDBEFB5437}"/>
            </a:ext>
          </a:extLst>
        </xdr:cNvPr>
        <xdr:cNvSpPr/>
      </xdr:nvSpPr>
      <xdr:spPr>
        <a:xfrm>
          <a:off x="9391095" y="1433569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100</xdr:col>
      <xdr:colOff>118156</xdr:colOff>
      <xdr:row>26</xdr:row>
      <xdr:rowOff>139385</xdr:rowOff>
    </xdr:from>
    <xdr:to>
      <xdr:col>102</xdr:col>
      <xdr:colOff>70744</xdr:colOff>
      <xdr:row>26</xdr:row>
      <xdr:rowOff>139385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F286CCBA-C253-486E-8AAC-9468E0D1A8C8}"/>
            </a:ext>
          </a:extLst>
        </xdr:cNvPr>
        <xdr:cNvCxnSpPr/>
      </xdr:nvCxnSpPr>
      <xdr:spPr>
        <a:xfrm>
          <a:off x="22978156" y="6082985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140530</xdr:colOff>
      <xdr:row>26</xdr:row>
      <xdr:rowOff>140644</xdr:rowOff>
    </xdr:from>
    <xdr:to>
      <xdr:col>102</xdr:col>
      <xdr:colOff>70222</xdr:colOff>
      <xdr:row>35</xdr:row>
      <xdr:rowOff>199458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A9EDCACB-369B-4D32-9E50-5108556EA36E}"/>
            </a:ext>
          </a:extLst>
        </xdr:cNvPr>
        <xdr:cNvCxnSpPr/>
      </xdr:nvCxnSpPr>
      <xdr:spPr>
        <a:xfrm flipH="1">
          <a:off x="22771930" y="6084244"/>
          <a:ext cx="615492" cy="2116214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101</xdr:col>
      <xdr:colOff>200610</xdr:colOff>
      <xdr:row>28</xdr:row>
      <xdr:rowOff>86838</xdr:rowOff>
    </xdr:from>
    <xdr:ext cx="224998" cy="213520"/>
    <xdr:sp macro="" textlink="$U$15">
      <xdr:nvSpPr>
        <xdr:cNvPr id="110" name="テキスト ボックス 109">
          <a:extLst>
            <a:ext uri="{FF2B5EF4-FFF2-40B4-BE49-F238E27FC236}">
              <a16:creationId xmlns:a16="http://schemas.microsoft.com/office/drawing/2014/main" id="{9000438A-40C2-48F0-98B4-5B3F1C892997}"/>
            </a:ext>
          </a:extLst>
        </xdr:cNvPr>
        <xdr:cNvSpPr txBox="1"/>
      </xdr:nvSpPr>
      <xdr:spPr>
        <a:xfrm rot="17160000">
          <a:off x="23294949" y="6481899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9ECCEB-79EE-4872-B205-BD49D7CC93E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186449</xdr:colOff>
      <xdr:row>26</xdr:row>
      <xdr:rowOff>135881</xdr:rowOff>
    </xdr:from>
    <xdr:to>
      <xdr:col>100</xdr:col>
      <xdr:colOff>117389</xdr:colOff>
      <xdr:row>35</xdr:row>
      <xdr:rowOff>199049</xdr:rowOff>
    </xdr:to>
    <xdr:cxnSp macro="">
      <xdr:nvCxnSpPr>
        <xdr:cNvPr id="111" name="直線コネクタ 110">
          <a:extLst>
            <a:ext uri="{FF2B5EF4-FFF2-40B4-BE49-F238E27FC236}">
              <a16:creationId xmlns:a16="http://schemas.microsoft.com/office/drawing/2014/main" id="{932BE6D5-7684-4564-A367-12462DAF1075}"/>
            </a:ext>
          </a:extLst>
        </xdr:cNvPr>
        <xdr:cNvCxnSpPr/>
      </xdr:nvCxnSpPr>
      <xdr:spPr>
        <a:xfrm flipH="1">
          <a:off x="22360649" y="6079481"/>
          <a:ext cx="616740" cy="212056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144301</xdr:colOff>
      <xdr:row>35</xdr:row>
      <xdr:rowOff>203404</xdr:rowOff>
    </xdr:from>
    <xdr:to>
      <xdr:col>99</xdr:col>
      <xdr:colOff>168889</xdr:colOff>
      <xdr:row>36</xdr:row>
      <xdr:rowOff>66475</xdr:rowOff>
    </xdr:to>
    <xdr:sp macro="" textlink="">
      <xdr:nvSpPr>
        <xdr:cNvPr id="112" name="正方形/長方形 111">
          <a:extLst>
            <a:ext uri="{FF2B5EF4-FFF2-40B4-BE49-F238E27FC236}">
              <a16:creationId xmlns:a16="http://schemas.microsoft.com/office/drawing/2014/main" id="{086C5B91-E4F1-43A9-9717-694F4746241D}"/>
            </a:ext>
          </a:extLst>
        </xdr:cNvPr>
        <xdr:cNvSpPr/>
      </xdr:nvSpPr>
      <xdr:spPr>
        <a:xfrm>
          <a:off x="22318501" y="8204404"/>
          <a:ext cx="481788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99</xdr:col>
      <xdr:colOff>48681</xdr:colOff>
      <xdr:row>27</xdr:row>
      <xdr:rowOff>34258</xdr:rowOff>
    </xdr:from>
    <xdr:to>
      <xdr:col>101</xdr:col>
      <xdr:colOff>164963</xdr:colOff>
      <xdr:row>35</xdr:row>
      <xdr:rowOff>199458</xdr:rowOff>
    </xdr:to>
    <xdr:cxnSp macro="">
      <xdr:nvCxnSpPr>
        <xdr:cNvPr id="119" name="直線コネクタ 118">
          <a:extLst>
            <a:ext uri="{FF2B5EF4-FFF2-40B4-BE49-F238E27FC236}">
              <a16:creationId xmlns:a16="http://schemas.microsoft.com/office/drawing/2014/main" id="{8ED31996-9FDF-497B-9917-95FD8CCFFC5A}"/>
            </a:ext>
          </a:extLst>
        </xdr:cNvPr>
        <xdr:cNvCxnSpPr/>
      </xdr:nvCxnSpPr>
      <xdr:spPr>
        <a:xfrm flipH="1">
          <a:off x="22680081" y="6206458"/>
          <a:ext cx="573482" cy="1994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69530</xdr:colOff>
      <xdr:row>34</xdr:row>
      <xdr:rowOff>62913</xdr:rowOff>
    </xdr:from>
    <xdr:to>
      <xdr:col>99</xdr:col>
      <xdr:colOff>153735</xdr:colOff>
      <xdr:row>34</xdr:row>
      <xdr:rowOff>62913</xdr:rowOff>
    </xdr:to>
    <xdr:cxnSp macro="">
      <xdr:nvCxnSpPr>
        <xdr:cNvPr id="121" name="直線コネクタ 120">
          <a:extLst>
            <a:ext uri="{FF2B5EF4-FFF2-40B4-BE49-F238E27FC236}">
              <a16:creationId xmlns:a16="http://schemas.microsoft.com/office/drawing/2014/main" id="{15DEC8A7-00E6-4099-ABEC-87E59A6A22EF}"/>
            </a:ext>
          </a:extLst>
        </xdr:cNvPr>
        <xdr:cNvCxnSpPr/>
      </xdr:nvCxnSpPr>
      <xdr:spPr>
        <a:xfrm>
          <a:off x="22472330" y="7835313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169680</xdr:colOff>
      <xdr:row>32</xdr:row>
      <xdr:rowOff>171499</xdr:rowOff>
    </xdr:from>
    <xdr:to>
      <xdr:col>100</xdr:col>
      <xdr:colOff>32180</xdr:colOff>
      <xdr:row>32</xdr:row>
      <xdr:rowOff>171499</xdr:rowOff>
    </xdr:to>
    <xdr:cxnSp macro="">
      <xdr:nvCxnSpPr>
        <xdr:cNvPr id="122" name="直線コネクタ 121">
          <a:extLst>
            <a:ext uri="{FF2B5EF4-FFF2-40B4-BE49-F238E27FC236}">
              <a16:creationId xmlns:a16="http://schemas.microsoft.com/office/drawing/2014/main" id="{6CB506D0-4AC2-46E4-8B75-7FE4578335D3}"/>
            </a:ext>
          </a:extLst>
        </xdr:cNvPr>
        <xdr:cNvCxnSpPr/>
      </xdr:nvCxnSpPr>
      <xdr:spPr>
        <a:xfrm>
          <a:off x="22572480" y="7486699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43769</xdr:colOff>
      <xdr:row>31</xdr:row>
      <xdr:rowOff>38150</xdr:rowOff>
    </xdr:from>
    <xdr:to>
      <xdr:col>100</xdr:col>
      <xdr:colOff>127975</xdr:colOff>
      <xdr:row>31</xdr:row>
      <xdr:rowOff>38150</xdr:rowOff>
    </xdr:to>
    <xdr:cxnSp macro="">
      <xdr:nvCxnSpPr>
        <xdr:cNvPr id="123" name="直線コネクタ 122">
          <a:extLst>
            <a:ext uri="{FF2B5EF4-FFF2-40B4-BE49-F238E27FC236}">
              <a16:creationId xmlns:a16="http://schemas.microsoft.com/office/drawing/2014/main" id="{9814D29E-0EBC-4C52-A3D8-19639A04E9F6}"/>
            </a:ext>
          </a:extLst>
        </xdr:cNvPr>
        <xdr:cNvCxnSpPr/>
      </xdr:nvCxnSpPr>
      <xdr:spPr>
        <a:xfrm>
          <a:off x="22675169" y="7124750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148272</xdr:colOff>
      <xdr:row>29</xdr:row>
      <xdr:rowOff>135847</xdr:rowOff>
    </xdr:from>
    <xdr:to>
      <xdr:col>101</xdr:col>
      <xdr:colOff>1156</xdr:colOff>
      <xdr:row>29</xdr:row>
      <xdr:rowOff>135847</xdr:rowOff>
    </xdr:to>
    <xdr:cxnSp macro="">
      <xdr:nvCxnSpPr>
        <xdr:cNvPr id="124" name="直線コネクタ 123">
          <a:extLst>
            <a:ext uri="{FF2B5EF4-FFF2-40B4-BE49-F238E27FC236}">
              <a16:creationId xmlns:a16="http://schemas.microsoft.com/office/drawing/2014/main" id="{3233E556-70E4-4552-9D88-C0B8775C4A8A}"/>
            </a:ext>
          </a:extLst>
        </xdr:cNvPr>
        <xdr:cNvCxnSpPr/>
      </xdr:nvCxnSpPr>
      <xdr:spPr>
        <a:xfrm>
          <a:off x="22779672" y="6765247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35423</xdr:colOff>
      <xdr:row>28</xdr:row>
      <xdr:rowOff>4675</xdr:rowOff>
    </xdr:from>
    <xdr:to>
      <xdr:col>101</xdr:col>
      <xdr:colOff>119628</xdr:colOff>
      <xdr:row>28</xdr:row>
      <xdr:rowOff>4675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D82197ED-F241-4C64-A70B-E6EC4BA1AFDF}"/>
            </a:ext>
          </a:extLst>
        </xdr:cNvPr>
        <xdr:cNvCxnSpPr/>
      </xdr:nvCxnSpPr>
      <xdr:spPr>
        <a:xfrm>
          <a:off x="22895423" y="6405475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74203</xdr:colOff>
      <xdr:row>27</xdr:row>
      <xdr:rowOff>28759</xdr:rowOff>
    </xdr:from>
    <xdr:to>
      <xdr:col>102</xdr:col>
      <xdr:colOff>43247</xdr:colOff>
      <xdr:row>27</xdr:row>
      <xdr:rowOff>28759</xdr:rowOff>
    </xdr:to>
    <xdr:cxnSp macro="">
      <xdr:nvCxnSpPr>
        <xdr:cNvPr id="126" name="直線コネクタ 125">
          <a:extLst>
            <a:ext uri="{FF2B5EF4-FFF2-40B4-BE49-F238E27FC236}">
              <a16:creationId xmlns:a16="http://schemas.microsoft.com/office/drawing/2014/main" id="{FFCCA8EF-DB6C-41B9-B353-BA3522B3BBC7}"/>
            </a:ext>
          </a:extLst>
        </xdr:cNvPr>
        <xdr:cNvCxnSpPr/>
      </xdr:nvCxnSpPr>
      <xdr:spPr>
        <a:xfrm>
          <a:off x="22934203" y="6200959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124911</xdr:colOff>
      <xdr:row>35</xdr:row>
      <xdr:rowOff>217580</xdr:rowOff>
    </xdr:from>
    <xdr:ext cx="530915" cy="285527"/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A1E451DE-11B2-410E-89B8-0BC6639EAD32}"/>
            </a:ext>
          </a:extLst>
        </xdr:cNvPr>
        <xdr:cNvSpPr txBox="1"/>
      </xdr:nvSpPr>
      <xdr:spPr>
        <a:xfrm>
          <a:off x="21841911" y="8218580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基礎部</a:t>
          </a:r>
        </a:p>
      </xdr:txBody>
    </xdr:sp>
    <xdr:clientData/>
  </xdr:oneCellAnchor>
  <xdr:oneCellAnchor>
    <xdr:from>
      <xdr:col>97</xdr:col>
      <xdr:colOff>135038</xdr:colOff>
      <xdr:row>36</xdr:row>
      <xdr:rowOff>65910</xdr:rowOff>
    </xdr:from>
    <xdr:ext cx="37664" cy="42986"/>
    <xdr:sp macro="" textlink="">
      <xdr:nvSpPr>
        <xdr:cNvPr id="162" name="楕円 161">
          <a:extLst>
            <a:ext uri="{FF2B5EF4-FFF2-40B4-BE49-F238E27FC236}">
              <a16:creationId xmlns:a16="http://schemas.microsoft.com/office/drawing/2014/main" id="{6A7692EB-8B1D-421F-AA9D-24157FC50D8B}"/>
            </a:ext>
          </a:extLst>
        </xdr:cNvPr>
        <xdr:cNvSpPr/>
      </xdr:nvSpPr>
      <xdr:spPr>
        <a:xfrm>
          <a:off x="22309238" y="8295510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97</xdr:col>
      <xdr:colOff>170206</xdr:colOff>
      <xdr:row>35</xdr:row>
      <xdr:rowOff>190758</xdr:rowOff>
    </xdr:from>
    <xdr:ext cx="37664" cy="42986"/>
    <xdr:sp macro="" textlink="">
      <xdr:nvSpPr>
        <xdr:cNvPr id="163" name="楕円 162">
          <a:extLst>
            <a:ext uri="{FF2B5EF4-FFF2-40B4-BE49-F238E27FC236}">
              <a16:creationId xmlns:a16="http://schemas.microsoft.com/office/drawing/2014/main" id="{B5A738CF-6FA2-4312-826D-5CDE08DBC087}"/>
            </a:ext>
          </a:extLst>
        </xdr:cNvPr>
        <xdr:cNvSpPr/>
      </xdr:nvSpPr>
      <xdr:spPr>
        <a:xfrm>
          <a:off x="22344406" y="819175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98</xdr:col>
      <xdr:colOff>36854</xdr:colOff>
      <xdr:row>34</xdr:row>
      <xdr:rowOff>48608</xdr:rowOff>
    </xdr:from>
    <xdr:ext cx="37664" cy="42986"/>
    <xdr:sp macro="" textlink="">
      <xdr:nvSpPr>
        <xdr:cNvPr id="164" name="楕円 163">
          <a:extLst>
            <a:ext uri="{FF2B5EF4-FFF2-40B4-BE49-F238E27FC236}">
              <a16:creationId xmlns:a16="http://schemas.microsoft.com/office/drawing/2014/main" id="{AB568672-61B2-487F-AF80-ABE9906C2B4A}"/>
            </a:ext>
          </a:extLst>
        </xdr:cNvPr>
        <xdr:cNvSpPr/>
      </xdr:nvSpPr>
      <xdr:spPr>
        <a:xfrm>
          <a:off x="22439654" y="782100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98</xdr:col>
      <xdr:colOff>145292</xdr:colOff>
      <xdr:row>32</xdr:row>
      <xdr:rowOff>158508</xdr:rowOff>
    </xdr:from>
    <xdr:ext cx="37664" cy="42986"/>
    <xdr:sp macro="" textlink="">
      <xdr:nvSpPr>
        <xdr:cNvPr id="165" name="楕円 164">
          <a:extLst>
            <a:ext uri="{FF2B5EF4-FFF2-40B4-BE49-F238E27FC236}">
              <a16:creationId xmlns:a16="http://schemas.microsoft.com/office/drawing/2014/main" id="{3942A23C-15B8-4213-A476-9CEC3886D506}"/>
            </a:ext>
          </a:extLst>
        </xdr:cNvPr>
        <xdr:cNvSpPr/>
      </xdr:nvSpPr>
      <xdr:spPr>
        <a:xfrm>
          <a:off x="22548092" y="747370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95</xdr:col>
      <xdr:colOff>130773</xdr:colOff>
      <xdr:row>35</xdr:row>
      <xdr:rowOff>38803</xdr:rowOff>
    </xdr:from>
    <xdr:ext cx="530915" cy="285527"/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3177B2C7-D013-4C43-B085-9AC31180EB34}"/>
            </a:ext>
          </a:extLst>
        </xdr:cNvPr>
        <xdr:cNvSpPr txBox="1"/>
      </xdr:nvSpPr>
      <xdr:spPr>
        <a:xfrm>
          <a:off x="21847773" y="8039803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１段目</a:t>
          </a:r>
        </a:p>
      </xdr:txBody>
    </xdr:sp>
    <xdr:clientData/>
  </xdr:oneCellAnchor>
  <xdr:oneCellAnchor>
    <xdr:from>
      <xdr:col>96</xdr:col>
      <xdr:colOff>562</xdr:colOff>
      <xdr:row>33</xdr:row>
      <xdr:rowOff>141378</xdr:rowOff>
    </xdr:from>
    <xdr:ext cx="530915" cy="285527"/>
    <xdr:sp macro="" textlink="">
      <xdr:nvSpPr>
        <xdr:cNvPr id="167" name="テキスト ボックス 166">
          <a:extLst>
            <a:ext uri="{FF2B5EF4-FFF2-40B4-BE49-F238E27FC236}">
              <a16:creationId xmlns:a16="http://schemas.microsoft.com/office/drawing/2014/main" id="{AF4A03C7-3546-4453-932F-3C3AA3839E6C}"/>
            </a:ext>
          </a:extLst>
        </xdr:cNvPr>
        <xdr:cNvSpPr txBox="1"/>
      </xdr:nvSpPr>
      <xdr:spPr>
        <a:xfrm>
          <a:off x="21946162" y="7685178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２段目</a:t>
          </a:r>
        </a:p>
      </xdr:txBody>
    </xdr:sp>
    <xdr:clientData/>
  </xdr:oneCellAnchor>
  <xdr:oneCellAnchor>
    <xdr:from>
      <xdr:col>96</xdr:col>
      <xdr:colOff>98534</xdr:colOff>
      <xdr:row>32</xdr:row>
      <xdr:rowOff>43197</xdr:rowOff>
    </xdr:from>
    <xdr:ext cx="530915" cy="285527"/>
    <xdr:sp macro="" textlink="">
      <xdr:nvSpPr>
        <xdr:cNvPr id="168" name="テキスト ボックス 167">
          <a:extLst>
            <a:ext uri="{FF2B5EF4-FFF2-40B4-BE49-F238E27FC236}">
              <a16:creationId xmlns:a16="http://schemas.microsoft.com/office/drawing/2014/main" id="{88BD21E8-02D5-4F33-BD21-A72A52E06BB2}"/>
            </a:ext>
          </a:extLst>
        </xdr:cNvPr>
        <xdr:cNvSpPr txBox="1"/>
      </xdr:nvSpPr>
      <xdr:spPr>
        <a:xfrm>
          <a:off x="22044134" y="7358397"/>
          <a:ext cx="530915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３段目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60</xdr:col>
      <xdr:colOff>105081</xdr:colOff>
      <xdr:row>19</xdr:row>
      <xdr:rowOff>221302</xdr:rowOff>
    </xdr:from>
    <xdr:to>
      <xdr:col>69</xdr:col>
      <xdr:colOff>18593</xdr:colOff>
      <xdr:row>29</xdr:row>
      <xdr:rowOff>76723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620DA170-F22A-4042-9B1E-131A734115AF}"/>
            </a:ext>
          </a:extLst>
        </xdr:cNvPr>
        <xdr:cNvCxnSpPr/>
      </xdr:nvCxnSpPr>
      <xdr:spPr>
        <a:xfrm flipV="1">
          <a:off x="13916331" y="4745677"/>
          <a:ext cx="1985200" cy="2236671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58</xdr:col>
      <xdr:colOff>75731</xdr:colOff>
      <xdr:row>29</xdr:row>
      <xdr:rowOff>141088</xdr:rowOff>
    </xdr:from>
    <xdr:ext cx="376834" cy="224998"/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4E2732E1-3E52-4818-A561-BFB27E06E585}"/>
            </a:ext>
          </a:extLst>
        </xdr:cNvPr>
        <xdr:cNvSpPr txBox="1"/>
      </xdr:nvSpPr>
      <xdr:spPr>
        <a:xfrm>
          <a:off x="13334531" y="6770488"/>
          <a:ext cx="37683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47423</xdr:colOff>
      <xdr:row>16</xdr:row>
      <xdr:rowOff>114252</xdr:rowOff>
    </xdr:from>
    <xdr:ext cx="224998" cy="361959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B3BD1891-5573-4A1E-BCC2-245E0FA76FEE}"/>
            </a:ext>
          </a:extLst>
        </xdr:cNvPr>
        <xdr:cNvSpPr txBox="1"/>
      </xdr:nvSpPr>
      <xdr:spPr>
        <a:xfrm rot="16200000">
          <a:off x="4779542" y="3840333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140577</xdr:colOff>
      <xdr:row>15</xdr:row>
      <xdr:rowOff>220762</xdr:rowOff>
    </xdr:from>
    <xdr:ext cx="285527" cy="711413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0B2AFDF-5224-4E23-B05C-678681ABE3E7}"/>
            </a:ext>
          </a:extLst>
        </xdr:cNvPr>
        <xdr:cNvSpPr txBox="1"/>
      </xdr:nvSpPr>
      <xdr:spPr>
        <a:xfrm rot="17160000">
          <a:off x="5871234" y="3862705"/>
          <a:ext cx="71141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 i="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n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 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oneCellAnchor>
    <xdr:from>
      <xdr:col>23</xdr:col>
      <xdr:colOff>3801</xdr:colOff>
      <xdr:row>22</xdr:row>
      <xdr:rowOff>54569</xdr:rowOff>
    </xdr:from>
    <xdr:ext cx="349135" cy="224998"/>
    <xdr:sp macro="" textlink="">
      <xdr:nvSpPr>
        <xdr:cNvPr id="140" name="テキスト ボックス 139">
          <a:extLst>
            <a:ext uri="{FF2B5EF4-FFF2-40B4-BE49-F238E27FC236}">
              <a16:creationId xmlns:a16="http://schemas.microsoft.com/office/drawing/2014/main" id="{80FBE8DE-98A6-453C-926E-F5426E253AE5}"/>
            </a:ext>
          </a:extLst>
        </xdr:cNvPr>
        <xdr:cNvSpPr txBox="1"/>
      </xdr:nvSpPr>
      <xdr:spPr>
        <a:xfrm>
          <a:off x="5261601" y="5083769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128735</xdr:colOff>
      <xdr:row>9</xdr:row>
      <xdr:rowOff>117786</xdr:rowOff>
    </xdr:from>
    <xdr:ext cx="336311" cy="224998"/>
    <xdr:sp macro="" textlink="">
      <xdr:nvSpPr>
        <xdr:cNvPr id="176" name="テキスト ボックス 175">
          <a:extLst>
            <a:ext uri="{FF2B5EF4-FFF2-40B4-BE49-F238E27FC236}">
              <a16:creationId xmlns:a16="http://schemas.microsoft.com/office/drawing/2014/main" id="{EAB03692-282D-E743-6E02-753A1DFBCFEC}"/>
            </a:ext>
          </a:extLst>
        </xdr:cNvPr>
        <xdr:cNvSpPr txBox="1"/>
      </xdr:nvSpPr>
      <xdr:spPr>
        <a:xfrm>
          <a:off x="6072335" y="2175186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107623</xdr:colOff>
      <xdr:row>10</xdr:row>
      <xdr:rowOff>88913</xdr:rowOff>
    </xdr:from>
    <xdr:to>
      <xdr:col>28</xdr:col>
      <xdr:colOff>107623</xdr:colOff>
      <xdr:row>11</xdr:row>
      <xdr:rowOff>22312</xdr:rowOff>
    </xdr:to>
    <xdr:cxnSp macro="">
      <xdr:nvCxnSpPr>
        <xdr:cNvPr id="179" name="直線コネクタ 178">
          <a:extLst>
            <a:ext uri="{FF2B5EF4-FFF2-40B4-BE49-F238E27FC236}">
              <a16:creationId xmlns:a16="http://schemas.microsoft.com/office/drawing/2014/main" id="{B2D53AA5-3E74-492F-43A7-130A928596F3}"/>
            </a:ext>
          </a:extLst>
        </xdr:cNvPr>
        <xdr:cNvCxnSpPr/>
      </xdr:nvCxnSpPr>
      <xdr:spPr>
        <a:xfrm>
          <a:off x="6508423" y="2374913"/>
          <a:ext cx="0" cy="16199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154817</xdr:colOff>
      <xdr:row>12</xdr:row>
      <xdr:rowOff>22412</xdr:rowOff>
    </xdr:from>
    <xdr:to>
      <xdr:col>34</xdr:col>
      <xdr:colOff>67195</xdr:colOff>
      <xdr:row>21</xdr:row>
      <xdr:rowOff>122762</xdr:rowOff>
    </xdr:to>
    <xdr:cxnSp macro="">
      <xdr:nvCxnSpPr>
        <xdr:cNvPr id="181" name="直線コネクタ 180">
          <a:extLst>
            <a:ext uri="{FF2B5EF4-FFF2-40B4-BE49-F238E27FC236}">
              <a16:creationId xmlns:a16="http://schemas.microsoft.com/office/drawing/2014/main" id="{116AD06F-C956-F562-981D-3CCA71D54262}"/>
            </a:ext>
          </a:extLst>
        </xdr:cNvPr>
        <xdr:cNvCxnSpPr/>
      </xdr:nvCxnSpPr>
      <xdr:spPr>
        <a:xfrm flipV="1">
          <a:off x="5757758" y="2846294"/>
          <a:ext cx="1929437" cy="2218262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113420</xdr:colOff>
      <xdr:row>12</xdr:row>
      <xdr:rowOff>8668</xdr:rowOff>
    </xdr:from>
    <xdr:to>
      <xdr:col>34</xdr:col>
      <xdr:colOff>43538</xdr:colOff>
      <xdr:row>12</xdr:row>
      <xdr:rowOff>8668</xdr:rowOff>
    </xdr:to>
    <xdr:cxnSp macro="">
      <xdr:nvCxnSpPr>
        <xdr:cNvPr id="182" name="直線コネクタ 181">
          <a:extLst>
            <a:ext uri="{FF2B5EF4-FFF2-40B4-BE49-F238E27FC236}">
              <a16:creationId xmlns:a16="http://schemas.microsoft.com/office/drawing/2014/main" id="{12D656C1-3C12-9323-A69F-BA3762B23F88}"/>
            </a:ext>
          </a:extLst>
        </xdr:cNvPr>
        <xdr:cNvCxnSpPr/>
      </xdr:nvCxnSpPr>
      <xdr:spPr>
        <a:xfrm>
          <a:off x="6514220" y="2751868"/>
          <a:ext cx="1301718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222502</xdr:colOff>
      <xdr:row>9</xdr:row>
      <xdr:rowOff>117786</xdr:rowOff>
    </xdr:from>
    <xdr:ext cx="309700" cy="224998"/>
    <xdr:sp macro="" textlink="">
      <xdr:nvSpPr>
        <xdr:cNvPr id="183" name="テキスト ボックス 182">
          <a:extLst>
            <a:ext uri="{FF2B5EF4-FFF2-40B4-BE49-F238E27FC236}">
              <a16:creationId xmlns:a16="http://schemas.microsoft.com/office/drawing/2014/main" id="{E01FFE58-18A9-166C-6765-A81B407F6F4F}"/>
            </a:ext>
          </a:extLst>
        </xdr:cNvPr>
        <xdr:cNvSpPr txBox="1"/>
      </xdr:nvSpPr>
      <xdr:spPr>
        <a:xfrm>
          <a:off x="6851902" y="2175186"/>
          <a:ext cx="30970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u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96783</xdr:colOff>
      <xdr:row>20</xdr:row>
      <xdr:rowOff>218153</xdr:rowOff>
    </xdr:from>
    <xdr:to>
      <xdr:col>26</xdr:col>
      <xdr:colOff>104291</xdr:colOff>
      <xdr:row>21</xdr:row>
      <xdr:rowOff>213381</xdr:rowOff>
    </xdr:to>
    <xdr:sp macro="" textlink="">
      <xdr:nvSpPr>
        <xdr:cNvPr id="184" name="円弧 183">
          <a:extLst>
            <a:ext uri="{FF2B5EF4-FFF2-40B4-BE49-F238E27FC236}">
              <a16:creationId xmlns:a16="http://schemas.microsoft.com/office/drawing/2014/main" id="{91E1D362-0685-B811-5DC0-37039817A01D}"/>
            </a:ext>
          </a:extLst>
        </xdr:cNvPr>
        <xdr:cNvSpPr/>
      </xdr:nvSpPr>
      <xdr:spPr>
        <a:xfrm rot="1800000">
          <a:off x="5811783" y="5007867"/>
          <a:ext cx="236108" cy="234714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25</xdr:col>
      <xdr:colOff>159472</xdr:colOff>
      <xdr:row>21</xdr:row>
      <xdr:rowOff>120926</xdr:rowOff>
    </xdr:from>
    <xdr:to>
      <xdr:col>28</xdr:col>
      <xdr:colOff>27543</xdr:colOff>
      <xdr:row>21</xdr:row>
      <xdr:rowOff>120926</xdr:rowOff>
    </xdr:to>
    <xdr:cxnSp macro="">
      <xdr:nvCxnSpPr>
        <xdr:cNvPr id="185" name="直線コネクタ 184">
          <a:extLst>
            <a:ext uri="{FF2B5EF4-FFF2-40B4-BE49-F238E27FC236}">
              <a16:creationId xmlns:a16="http://schemas.microsoft.com/office/drawing/2014/main" id="{A69DAE19-0DF4-8BD6-F870-07D472475954}"/>
            </a:ext>
          </a:extLst>
        </xdr:cNvPr>
        <xdr:cNvCxnSpPr/>
      </xdr:nvCxnSpPr>
      <xdr:spPr>
        <a:xfrm>
          <a:off x="5874472" y="5150126"/>
          <a:ext cx="553871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88923</xdr:colOff>
      <xdr:row>20</xdr:row>
      <xdr:rowOff>122578</xdr:rowOff>
    </xdr:from>
    <xdr:ext cx="300082" cy="242374"/>
    <xdr:sp macro="" textlink="">
      <xdr:nvSpPr>
        <xdr:cNvPr id="186" name="テキスト ボックス 185">
          <a:extLst>
            <a:ext uri="{FF2B5EF4-FFF2-40B4-BE49-F238E27FC236}">
              <a16:creationId xmlns:a16="http://schemas.microsoft.com/office/drawing/2014/main" id="{C2EB73B9-CE8E-DA5C-9228-AFD51379F4B6}"/>
            </a:ext>
          </a:extLst>
        </xdr:cNvPr>
        <xdr:cNvSpPr txBox="1"/>
      </xdr:nvSpPr>
      <xdr:spPr>
        <a:xfrm>
          <a:off x="6032523" y="4912292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ω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192693</xdr:colOff>
      <xdr:row>13</xdr:row>
      <xdr:rowOff>5602</xdr:rowOff>
    </xdr:from>
    <xdr:to>
      <xdr:col>28</xdr:col>
      <xdr:colOff>197927</xdr:colOff>
      <xdr:row>14</xdr:row>
      <xdr:rowOff>1744</xdr:rowOff>
    </xdr:to>
    <xdr:sp macro="" textlink="">
      <xdr:nvSpPr>
        <xdr:cNvPr id="187" name="円弧 186">
          <a:extLst>
            <a:ext uri="{FF2B5EF4-FFF2-40B4-BE49-F238E27FC236}">
              <a16:creationId xmlns:a16="http://schemas.microsoft.com/office/drawing/2014/main" id="{F2E7AC77-3F8A-3A7E-FF20-7FEAE1C42347}"/>
            </a:ext>
          </a:extLst>
        </xdr:cNvPr>
        <xdr:cNvSpPr/>
      </xdr:nvSpPr>
      <xdr:spPr>
        <a:xfrm rot="9761260">
          <a:off x="6364893" y="2977402"/>
          <a:ext cx="233834" cy="224742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28</xdr:col>
      <xdr:colOff>112406</xdr:colOff>
      <xdr:row>12</xdr:row>
      <xdr:rowOff>9495</xdr:rowOff>
    </xdr:from>
    <xdr:to>
      <xdr:col>28</xdr:col>
      <xdr:colOff>112406</xdr:colOff>
      <xdr:row>14</xdr:row>
      <xdr:rowOff>212518</xdr:rowOff>
    </xdr:to>
    <xdr:cxnSp macro="">
      <xdr:nvCxnSpPr>
        <xdr:cNvPr id="188" name="直線コネクタ 187">
          <a:extLst>
            <a:ext uri="{FF2B5EF4-FFF2-40B4-BE49-F238E27FC236}">
              <a16:creationId xmlns:a16="http://schemas.microsoft.com/office/drawing/2014/main" id="{677EF278-D3C1-9816-FE29-1DBCBBD02251}"/>
            </a:ext>
          </a:extLst>
        </xdr:cNvPr>
        <xdr:cNvCxnSpPr/>
      </xdr:nvCxnSpPr>
      <xdr:spPr>
        <a:xfrm>
          <a:off x="6513206" y="2752695"/>
          <a:ext cx="0" cy="660223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27</xdr:col>
      <xdr:colOff>109205</xdr:colOff>
      <xdr:row>13</xdr:row>
      <xdr:rowOff>167779</xdr:rowOff>
    </xdr:from>
    <xdr:ext cx="300082" cy="242374"/>
    <xdr:sp macro="" textlink="">
      <xdr:nvSpPr>
        <xdr:cNvPr id="189" name="テキスト ボックス 188">
          <a:extLst>
            <a:ext uri="{FF2B5EF4-FFF2-40B4-BE49-F238E27FC236}">
              <a16:creationId xmlns:a16="http://schemas.microsoft.com/office/drawing/2014/main" id="{6421014E-C04C-CC00-6DB9-5C60AF32CE70}"/>
            </a:ext>
          </a:extLst>
        </xdr:cNvPr>
        <xdr:cNvSpPr txBox="1"/>
      </xdr:nvSpPr>
      <xdr:spPr>
        <a:xfrm>
          <a:off x="6281405" y="3139579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α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105141</xdr:colOff>
      <xdr:row>10</xdr:row>
      <xdr:rowOff>133235</xdr:rowOff>
    </xdr:from>
    <xdr:to>
      <xdr:col>34</xdr:col>
      <xdr:colOff>57807</xdr:colOff>
      <xdr:row>10</xdr:row>
      <xdr:rowOff>133235</xdr:rowOff>
    </xdr:to>
    <xdr:cxnSp macro="">
      <xdr:nvCxnSpPr>
        <xdr:cNvPr id="190" name="直線コネクタ 189">
          <a:extLst>
            <a:ext uri="{FF2B5EF4-FFF2-40B4-BE49-F238E27FC236}">
              <a16:creationId xmlns:a16="http://schemas.microsoft.com/office/drawing/2014/main" id="{07F44188-62CF-116A-ED14-D7A740B5D3AA}"/>
            </a:ext>
          </a:extLst>
        </xdr:cNvPr>
        <xdr:cNvCxnSpPr/>
      </xdr:nvCxnSpPr>
      <xdr:spPr>
        <a:xfrm>
          <a:off x="6579513" y="2445511"/>
          <a:ext cx="1340032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34</xdr:col>
      <xdr:colOff>57166</xdr:colOff>
      <xdr:row>10</xdr:row>
      <xdr:rowOff>88913</xdr:rowOff>
    </xdr:from>
    <xdr:to>
      <xdr:col>34</xdr:col>
      <xdr:colOff>57166</xdr:colOff>
      <xdr:row>11</xdr:row>
      <xdr:rowOff>22312</xdr:rowOff>
    </xdr:to>
    <xdr:cxnSp macro="">
      <xdr:nvCxnSpPr>
        <xdr:cNvPr id="191" name="直線コネクタ 190">
          <a:extLst>
            <a:ext uri="{FF2B5EF4-FFF2-40B4-BE49-F238E27FC236}">
              <a16:creationId xmlns:a16="http://schemas.microsoft.com/office/drawing/2014/main" id="{39DEDE62-413D-AD04-9211-DFCEE8169A36}"/>
            </a:ext>
          </a:extLst>
        </xdr:cNvPr>
        <xdr:cNvCxnSpPr/>
      </xdr:nvCxnSpPr>
      <xdr:spPr>
        <a:xfrm>
          <a:off x="7918904" y="2401189"/>
          <a:ext cx="0" cy="164626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176150</xdr:colOff>
      <xdr:row>13</xdr:row>
      <xdr:rowOff>109654</xdr:rowOff>
    </xdr:from>
    <xdr:to>
      <xdr:col>29</xdr:col>
      <xdr:colOff>176150</xdr:colOff>
      <xdr:row>16</xdr:row>
      <xdr:rowOff>3443</xdr:rowOff>
    </xdr:to>
    <xdr:cxnSp macro="">
      <xdr:nvCxnSpPr>
        <xdr:cNvPr id="192" name="直線コネクタ 191">
          <a:extLst>
            <a:ext uri="{FF2B5EF4-FFF2-40B4-BE49-F238E27FC236}">
              <a16:creationId xmlns:a16="http://schemas.microsoft.com/office/drawing/2014/main" id="{15358252-25C4-F1CB-5054-27BD63706BDA}"/>
            </a:ext>
          </a:extLst>
        </xdr:cNvPr>
        <xdr:cNvCxnSpPr/>
      </xdr:nvCxnSpPr>
      <xdr:spPr>
        <a:xfrm>
          <a:off x="6805550" y="3081454"/>
          <a:ext cx="0" cy="579589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40912</xdr:colOff>
      <xdr:row>12</xdr:row>
      <xdr:rowOff>155231</xdr:rowOff>
    </xdr:from>
    <xdr:ext cx="309637" cy="224998"/>
    <xdr:sp macro="" textlink="">
      <xdr:nvSpPr>
        <xdr:cNvPr id="193" name="テキスト ボックス 192">
          <a:extLst>
            <a:ext uri="{FF2B5EF4-FFF2-40B4-BE49-F238E27FC236}">
              <a16:creationId xmlns:a16="http://schemas.microsoft.com/office/drawing/2014/main" id="{131C31A7-3F64-C821-D3FA-AC80614C453E}"/>
            </a:ext>
          </a:extLst>
        </xdr:cNvPr>
        <xdr:cNvSpPr txBox="1"/>
      </xdr:nvSpPr>
      <xdr:spPr>
        <a:xfrm>
          <a:off x="6670312" y="2898431"/>
          <a:ext cx="30963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29</xdr:col>
      <xdr:colOff>81242</xdr:colOff>
      <xdr:row>17</xdr:row>
      <xdr:rowOff>193024</xdr:rowOff>
    </xdr:from>
    <xdr:to>
      <xdr:col>31</xdr:col>
      <xdr:colOff>66708</xdr:colOff>
      <xdr:row>17</xdr:row>
      <xdr:rowOff>193024</xdr:rowOff>
    </xdr:to>
    <xdr:cxnSp macro="">
      <xdr:nvCxnSpPr>
        <xdr:cNvPr id="194" name="直線コネクタ 193">
          <a:extLst>
            <a:ext uri="{FF2B5EF4-FFF2-40B4-BE49-F238E27FC236}">
              <a16:creationId xmlns:a16="http://schemas.microsoft.com/office/drawing/2014/main" id="{9765EBB6-A34E-1785-A0EE-6D63B6E91C47}"/>
            </a:ext>
          </a:extLst>
        </xdr:cNvPr>
        <xdr:cNvCxnSpPr/>
      </xdr:nvCxnSpPr>
      <xdr:spPr>
        <a:xfrm rot="2460000">
          <a:off x="6710642" y="4264281"/>
          <a:ext cx="442666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36</xdr:colOff>
      <xdr:row>17</xdr:row>
      <xdr:rowOff>37203</xdr:rowOff>
    </xdr:from>
    <xdr:to>
      <xdr:col>30</xdr:col>
      <xdr:colOff>36</xdr:colOff>
      <xdr:row>19</xdr:row>
      <xdr:rowOff>152945</xdr:rowOff>
    </xdr:to>
    <xdr:cxnSp macro="">
      <xdr:nvCxnSpPr>
        <xdr:cNvPr id="195" name="直線コネクタ 194">
          <a:extLst>
            <a:ext uri="{FF2B5EF4-FFF2-40B4-BE49-F238E27FC236}">
              <a16:creationId xmlns:a16="http://schemas.microsoft.com/office/drawing/2014/main" id="{BC25E3F2-378F-05CF-4973-6A0FD67368C5}"/>
            </a:ext>
          </a:extLst>
        </xdr:cNvPr>
        <xdr:cNvCxnSpPr/>
      </xdr:nvCxnSpPr>
      <xdr:spPr>
        <a:xfrm rot="4260000">
          <a:off x="6560679" y="4405817"/>
          <a:ext cx="594714" cy="0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82485</xdr:colOff>
      <xdr:row>17</xdr:row>
      <xdr:rowOff>68631</xdr:rowOff>
    </xdr:from>
    <xdr:to>
      <xdr:col>30</xdr:col>
      <xdr:colOff>84904</xdr:colOff>
      <xdr:row>18</xdr:row>
      <xdr:rowOff>66670</xdr:rowOff>
    </xdr:to>
    <xdr:sp macro="" textlink="">
      <xdr:nvSpPr>
        <xdr:cNvPr id="196" name="円弧 195">
          <a:extLst>
            <a:ext uri="{FF2B5EF4-FFF2-40B4-BE49-F238E27FC236}">
              <a16:creationId xmlns:a16="http://schemas.microsoft.com/office/drawing/2014/main" id="{C1509117-10D4-79AC-DEE7-AFB8A9D031C4}"/>
            </a:ext>
          </a:extLst>
        </xdr:cNvPr>
        <xdr:cNvSpPr/>
      </xdr:nvSpPr>
      <xdr:spPr>
        <a:xfrm rot="5940764">
          <a:off x="6714075" y="3952641"/>
          <a:ext cx="226639" cy="231019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29</xdr:col>
      <xdr:colOff>212302</xdr:colOff>
      <xdr:row>18</xdr:row>
      <xdr:rowOff>34694</xdr:rowOff>
    </xdr:from>
    <xdr:ext cx="300082" cy="242374"/>
    <xdr:sp macro="" textlink="">
      <xdr:nvSpPr>
        <xdr:cNvPr id="197" name="テキスト ボックス 196">
          <a:extLst>
            <a:ext uri="{FF2B5EF4-FFF2-40B4-BE49-F238E27FC236}">
              <a16:creationId xmlns:a16="http://schemas.microsoft.com/office/drawing/2014/main" id="{877E0665-6DC6-6F1D-DD0F-DBCC9B72A48B}"/>
            </a:ext>
          </a:extLst>
        </xdr:cNvPr>
        <xdr:cNvSpPr txBox="1"/>
      </xdr:nvSpPr>
      <xdr:spPr>
        <a:xfrm>
          <a:off x="6841702" y="4149494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φ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210880</xdr:colOff>
      <xdr:row>18</xdr:row>
      <xdr:rowOff>27198</xdr:rowOff>
    </xdr:from>
    <xdr:to>
      <xdr:col>26</xdr:col>
      <xdr:colOff>177392</xdr:colOff>
      <xdr:row>18</xdr:row>
      <xdr:rowOff>27198</xdr:rowOff>
    </xdr:to>
    <xdr:cxnSp macro="">
      <xdr:nvCxnSpPr>
        <xdr:cNvPr id="198" name="直線コネクタ 197">
          <a:extLst>
            <a:ext uri="{FF2B5EF4-FFF2-40B4-BE49-F238E27FC236}">
              <a16:creationId xmlns:a16="http://schemas.microsoft.com/office/drawing/2014/main" id="{9CCAC5DC-18A7-9F10-1EDA-6854CE93AD98}"/>
            </a:ext>
          </a:extLst>
        </xdr:cNvPr>
        <xdr:cNvCxnSpPr/>
      </xdr:nvCxnSpPr>
      <xdr:spPr>
        <a:xfrm rot="5160000">
          <a:off x="6023436" y="4044442"/>
          <a:ext cx="0" cy="195112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168659</xdr:colOff>
      <xdr:row>17</xdr:row>
      <xdr:rowOff>187675</xdr:rowOff>
    </xdr:from>
    <xdr:to>
      <xdr:col>26</xdr:col>
      <xdr:colOff>172884</xdr:colOff>
      <xdr:row>18</xdr:row>
      <xdr:rowOff>16550</xdr:rowOff>
    </xdr:to>
    <xdr:cxnSp macro="">
      <xdr:nvCxnSpPr>
        <xdr:cNvPr id="199" name="直線コネクタ 198">
          <a:extLst>
            <a:ext uri="{FF2B5EF4-FFF2-40B4-BE49-F238E27FC236}">
              <a16:creationId xmlns:a16="http://schemas.microsoft.com/office/drawing/2014/main" id="{8B654DB5-1DBA-2C86-9FCF-E60A50993402}"/>
            </a:ext>
          </a:extLst>
        </xdr:cNvPr>
        <xdr:cNvCxnSpPr/>
      </xdr:nvCxnSpPr>
      <xdr:spPr>
        <a:xfrm>
          <a:off x="5883659" y="4073875"/>
          <a:ext cx="232825" cy="57475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25</xdr:col>
      <xdr:colOff>157803</xdr:colOff>
      <xdr:row>16</xdr:row>
      <xdr:rowOff>139553</xdr:rowOff>
    </xdr:from>
    <xdr:ext cx="300082" cy="242374"/>
    <xdr:sp macro="" textlink="">
      <xdr:nvSpPr>
        <xdr:cNvPr id="200" name="テキスト ボックス 199">
          <a:extLst>
            <a:ext uri="{FF2B5EF4-FFF2-40B4-BE49-F238E27FC236}">
              <a16:creationId xmlns:a16="http://schemas.microsoft.com/office/drawing/2014/main" id="{0F674D8D-5ED4-1B64-F02D-DC413E9E541F}"/>
            </a:ext>
          </a:extLst>
        </xdr:cNvPr>
        <xdr:cNvSpPr txBox="1"/>
      </xdr:nvSpPr>
      <xdr:spPr>
        <a:xfrm>
          <a:off x="5872803" y="3797153"/>
          <a:ext cx="30008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δ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6385</xdr:colOff>
      <xdr:row>17</xdr:row>
      <xdr:rowOff>157560</xdr:rowOff>
    </xdr:from>
    <xdr:to>
      <xdr:col>27</xdr:col>
      <xdr:colOff>32030</xdr:colOff>
      <xdr:row>18</xdr:row>
      <xdr:rowOff>150138</xdr:rowOff>
    </xdr:to>
    <xdr:sp macro="" textlink="">
      <xdr:nvSpPr>
        <xdr:cNvPr id="201" name="円弧 200">
          <a:extLst>
            <a:ext uri="{FF2B5EF4-FFF2-40B4-BE49-F238E27FC236}">
              <a16:creationId xmlns:a16="http://schemas.microsoft.com/office/drawing/2014/main" id="{098098AB-DCD7-37A1-8218-33533A6A5423}"/>
            </a:ext>
          </a:extLst>
        </xdr:cNvPr>
        <xdr:cNvSpPr/>
      </xdr:nvSpPr>
      <xdr:spPr>
        <a:xfrm rot="11882846">
          <a:off x="5949985" y="4043760"/>
          <a:ext cx="254245" cy="221178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26</xdr:col>
      <xdr:colOff>11639</xdr:colOff>
      <xdr:row>17</xdr:row>
      <xdr:rowOff>92370</xdr:rowOff>
    </xdr:from>
    <xdr:to>
      <xdr:col>27</xdr:col>
      <xdr:colOff>17772</xdr:colOff>
      <xdr:row>18</xdr:row>
      <xdr:rowOff>97509</xdr:rowOff>
    </xdr:to>
    <xdr:sp macro="" textlink="">
      <xdr:nvSpPr>
        <xdr:cNvPr id="202" name="円弧 201">
          <a:extLst>
            <a:ext uri="{FF2B5EF4-FFF2-40B4-BE49-F238E27FC236}">
              <a16:creationId xmlns:a16="http://schemas.microsoft.com/office/drawing/2014/main" id="{6DC477A0-80C3-4028-DB48-2C6A09FF1716}"/>
            </a:ext>
          </a:extLst>
        </xdr:cNvPr>
        <xdr:cNvSpPr/>
      </xdr:nvSpPr>
      <xdr:spPr>
        <a:xfrm rot="16419954">
          <a:off x="5955736" y="3978073"/>
          <a:ext cx="233739" cy="234733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25</xdr:col>
      <xdr:colOff>26390</xdr:colOff>
      <xdr:row>17</xdr:row>
      <xdr:rowOff>194134</xdr:rowOff>
    </xdr:from>
    <xdr:ext cx="255198" cy="224998"/>
    <xdr:sp macro="" textlink="">
      <xdr:nvSpPr>
        <xdr:cNvPr id="203" name="テキスト ボックス 202">
          <a:extLst>
            <a:ext uri="{FF2B5EF4-FFF2-40B4-BE49-F238E27FC236}">
              <a16:creationId xmlns:a16="http://schemas.microsoft.com/office/drawing/2014/main" id="{EBCC2A2D-19D5-4EBD-2456-54BFF3B17958}"/>
            </a:ext>
          </a:extLst>
        </xdr:cNvPr>
        <xdr:cNvSpPr txBox="1"/>
      </xdr:nvSpPr>
      <xdr:spPr>
        <a:xfrm>
          <a:off x="5741390" y="4265391"/>
          <a:ext cx="25519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29</xdr:col>
      <xdr:colOff>178972</xdr:colOff>
      <xdr:row>17</xdr:row>
      <xdr:rowOff>3501</xdr:rowOff>
    </xdr:from>
    <xdr:to>
      <xdr:col>30</xdr:col>
      <xdr:colOff>4329</xdr:colOff>
      <xdr:row>17</xdr:row>
      <xdr:rowOff>48850</xdr:rowOff>
    </xdr:to>
    <xdr:cxnSp macro="">
      <xdr:nvCxnSpPr>
        <xdr:cNvPr id="204" name="直線コネクタ 203">
          <a:extLst>
            <a:ext uri="{FF2B5EF4-FFF2-40B4-BE49-F238E27FC236}">
              <a16:creationId xmlns:a16="http://schemas.microsoft.com/office/drawing/2014/main" id="{54934A7B-602F-C5FB-102A-7CEA49A4F906}"/>
            </a:ext>
          </a:extLst>
        </xdr:cNvPr>
        <xdr:cNvCxnSpPr/>
      </xdr:nvCxnSpPr>
      <xdr:spPr>
        <a:xfrm>
          <a:off x="6833483" y="4051626"/>
          <a:ext cx="54823" cy="45349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192991</xdr:colOff>
      <xdr:row>17</xdr:row>
      <xdr:rowOff>51954</xdr:rowOff>
    </xdr:from>
    <xdr:to>
      <xdr:col>29</xdr:col>
      <xdr:colOff>225390</xdr:colOff>
      <xdr:row>17</xdr:row>
      <xdr:rowOff>87874</xdr:rowOff>
    </xdr:to>
    <xdr:cxnSp macro="">
      <xdr:nvCxnSpPr>
        <xdr:cNvPr id="205" name="直線コネクタ 204">
          <a:extLst>
            <a:ext uri="{FF2B5EF4-FFF2-40B4-BE49-F238E27FC236}">
              <a16:creationId xmlns:a16="http://schemas.microsoft.com/office/drawing/2014/main" id="{87FF24D0-2A14-2650-DE04-49A50A1A0EBD}"/>
            </a:ext>
          </a:extLst>
        </xdr:cNvPr>
        <xdr:cNvCxnSpPr/>
      </xdr:nvCxnSpPr>
      <xdr:spPr>
        <a:xfrm flipH="1">
          <a:off x="6847502" y="4100079"/>
          <a:ext cx="32399" cy="35920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126698</xdr:colOff>
      <xdr:row>17</xdr:row>
      <xdr:rowOff>170410</xdr:rowOff>
    </xdr:from>
    <xdr:to>
      <xdr:col>26</xdr:col>
      <xdr:colOff>190839</xdr:colOff>
      <xdr:row>17</xdr:row>
      <xdr:rowOff>191543</xdr:rowOff>
    </xdr:to>
    <xdr:cxnSp macro="">
      <xdr:nvCxnSpPr>
        <xdr:cNvPr id="206" name="直線コネクタ 205">
          <a:extLst>
            <a:ext uri="{FF2B5EF4-FFF2-40B4-BE49-F238E27FC236}">
              <a16:creationId xmlns:a16="http://schemas.microsoft.com/office/drawing/2014/main" id="{DB4A6EAC-CD2F-F054-FC06-1D65DF8DA4A0}"/>
            </a:ext>
          </a:extLst>
        </xdr:cNvPr>
        <xdr:cNvCxnSpPr/>
      </xdr:nvCxnSpPr>
      <xdr:spPr>
        <a:xfrm>
          <a:off x="6070298" y="4056610"/>
          <a:ext cx="64141" cy="21133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109773</xdr:colOff>
      <xdr:row>17</xdr:row>
      <xdr:rowOff>170487</xdr:rowOff>
    </xdr:from>
    <xdr:to>
      <xdr:col>26</xdr:col>
      <xdr:colOff>127170</xdr:colOff>
      <xdr:row>17</xdr:row>
      <xdr:rowOff>226475</xdr:rowOff>
    </xdr:to>
    <xdr:cxnSp macro="">
      <xdr:nvCxnSpPr>
        <xdr:cNvPr id="207" name="直線コネクタ 206">
          <a:extLst>
            <a:ext uri="{FF2B5EF4-FFF2-40B4-BE49-F238E27FC236}">
              <a16:creationId xmlns:a16="http://schemas.microsoft.com/office/drawing/2014/main" id="{247ABE59-42A7-8B3D-D4C9-668965C06046}"/>
            </a:ext>
          </a:extLst>
        </xdr:cNvPr>
        <xdr:cNvCxnSpPr/>
      </xdr:nvCxnSpPr>
      <xdr:spPr>
        <a:xfrm flipH="1">
          <a:off x="6053373" y="4056687"/>
          <a:ext cx="17397" cy="55988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122620</xdr:colOff>
      <xdr:row>11</xdr:row>
      <xdr:rowOff>86559</xdr:rowOff>
    </xdr:from>
    <xdr:to>
      <xdr:col>28</xdr:col>
      <xdr:colOff>124016</xdr:colOff>
      <xdr:row>12</xdr:row>
      <xdr:rowOff>2872</xdr:rowOff>
    </xdr:to>
    <xdr:cxnSp macro="">
      <xdr:nvCxnSpPr>
        <xdr:cNvPr id="209" name="直線コネクタ 208">
          <a:extLst>
            <a:ext uri="{FF2B5EF4-FFF2-40B4-BE49-F238E27FC236}">
              <a16:creationId xmlns:a16="http://schemas.microsoft.com/office/drawing/2014/main" id="{9B041E20-84F2-44D9-8002-F010C7D3A0AA}"/>
            </a:ext>
          </a:extLst>
        </xdr:cNvPr>
        <xdr:cNvCxnSpPr/>
      </xdr:nvCxnSpPr>
      <xdr:spPr>
        <a:xfrm flipH="1">
          <a:off x="652342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949</xdr:colOff>
      <xdr:row>11</xdr:row>
      <xdr:rowOff>86559</xdr:rowOff>
    </xdr:from>
    <xdr:to>
      <xdr:col>29</xdr:col>
      <xdr:colOff>2345</xdr:colOff>
      <xdr:row>12</xdr:row>
      <xdr:rowOff>2872</xdr:rowOff>
    </xdr:to>
    <xdr:cxnSp macro="">
      <xdr:nvCxnSpPr>
        <xdr:cNvPr id="210" name="直線コネクタ 209">
          <a:extLst>
            <a:ext uri="{FF2B5EF4-FFF2-40B4-BE49-F238E27FC236}">
              <a16:creationId xmlns:a16="http://schemas.microsoft.com/office/drawing/2014/main" id="{F2E51EB4-8A91-A414-192D-054A15E778CD}"/>
            </a:ext>
          </a:extLst>
        </xdr:cNvPr>
        <xdr:cNvCxnSpPr/>
      </xdr:nvCxnSpPr>
      <xdr:spPr>
        <a:xfrm flipH="1">
          <a:off x="6630349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103120</xdr:colOff>
      <xdr:row>11</xdr:row>
      <xdr:rowOff>86559</xdr:rowOff>
    </xdr:from>
    <xdr:to>
      <xdr:col>29</xdr:col>
      <xdr:colOff>104516</xdr:colOff>
      <xdr:row>12</xdr:row>
      <xdr:rowOff>2872</xdr:rowOff>
    </xdr:to>
    <xdr:cxnSp macro="">
      <xdr:nvCxnSpPr>
        <xdr:cNvPr id="211" name="直線コネクタ 210">
          <a:extLst>
            <a:ext uri="{FF2B5EF4-FFF2-40B4-BE49-F238E27FC236}">
              <a16:creationId xmlns:a16="http://schemas.microsoft.com/office/drawing/2014/main" id="{39687A2B-B2DF-2D35-9336-5A23C7B59254}"/>
            </a:ext>
          </a:extLst>
        </xdr:cNvPr>
        <xdr:cNvCxnSpPr/>
      </xdr:nvCxnSpPr>
      <xdr:spPr>
        <a:xfrm flipH="1">
          <a:off x="673252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215620</xdr:colOff>
      <xdr:row>11</xdr:row>
      <xdr:rowOff>86559</xdr:rowOff>
    </xdr:from>
    <xdr:to>
      <xdr:col>29</xdr:col>
      <xdr:colOff>217016</xdr:colOff>
      <xdr:row>12</xdr:row>
      <xdr:rowOff>2872</xdr:rowOff>
    </xdr:to>
    <xdr:cxnSp macro="">
      <xdr:nvCxnSpPr>
        <xdr:cNvPr id="212" name="直線コネクタ 211">
          <a:extLst>
            <a:ext uri="{FF2B5EF4-FFF2-40B4-BE49-F238E27FC236}">
              <a16:creationId xmlns:a16="http://schemas.microsoft.com/office/drawing/2014/main" id="{63228C05-F44F-6C12-4339-49417F464035}"/>
            </a:ext>
          </a:extLst>
        </xdr:cNvPr>
        <xdr:cNvCxnSpPr/>
      </xdr:nvCxnSpPr>
      <xdr:spPr>
        <a:xfrm flipH="1">
          <a:off x="684502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92730</xdr:colOff>
      <xdr:row>11</xdr:row>
      <xdr:rowOff>86559</xdr:rowOff>
    </xdr:from>
    <xdr:to>
      <xdr:col>30</xdr:col>
      <xdr:colOff>94126</xdr:colOff>
      <xdr:row>12</xdr:row>
      <xdr:rowOff>2872</xdr:rowOff>
    </xdr:to>
    <xdr:cxnSp macro="">
      <xdr:nvCxnSpPr>
        <xdr:cNvPr id="213" name="直線コネクタ 212">
          <a:extLst>
            <a:ext uri="{FF2B5EF4-FFF2-40B4-BE49-F238E27FC236}">
              <a16:creationId xmlns:a16="http://schemas.microsoft.com/office/drawing/2014/main" id="{CE04E6A8-EF80-95BD-E20D-AD17732E5F0C}"/>
            </a:ext>
          </a:extLst>
        </xdr:cNvPr>
        <xdr:cNvCxnSpPr/>
      </xdr:nvCxnSpPr>
      <xdr:spPr>
        <a:xfrm flipH="1">
          <a:off x="695073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189192</xdr:colOff>
      <xdr:row>11</xdr:row>
      <xdr:rowOff>86559</xdr:rowOff>
    </xdr:from>
    <xdr:to>
      <xdr:col>30</xdr:col>
      <xdr:colOff>190588</xdr:colOff>
      <xdr:row>12</xdr:row>
      <xdr:rowOff>2872</xdr:rowOff>
    </xdr:to>
    <xdr:cxnSp macro="">
      <xdr:nvCxnSpPr>
        <xdr:cNvPr id="214" name="直線コネクタ 213">
          <a:extLst>
            <a:ext uri="{FF2B5EF4-FFF2-40B4-BE49-F238E27FC236}">
              <a16:creationId xmlns:a16="http://schemas.microsoft.com/office/drawing/2014/main" id="{45475E4A-2222-8113-3C44-E11CE51DE48B}"/>
            </a:ext>
          </a:extLst>
        </xdr:cNvPr>
        <xdr:cNvCxnSpPr/>
      </xdr:nvCxnSpPr>
      <xdr:spPr>
        <a:xfrm flipH="1">
          <a:off x="7047192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61376</xdr:colOff>
      <xdr:row>11</xdr:row>
      <xdr:rowOff>86559</xdr:rowOff>
    </xdr:from>
    <xdr:to>
      <xdr:col>31</xdr:col>
      <xdr:colOff>62772</xdr:colOff>
      <xdr:row>12</xdr:row>
      <xdr:rowOff>2872</xdr:rowOff>
    </xdr:to>
    <xdr:cxnSp macro="">
      <xdr:nvCxnSpPr>
        <xdr:cNvPr id="215" name="直線コネクタ 214">
          <a:extLst>
            <a:ext uri="{FF2B5EF4-FFF2-40B4-BE49-F238E27FC236}">
              <a16:creationId xmlns:a16="http://schemas.microsoft.com/office/drawing/2014/main" id="{69335648-C7DB-7F24-99D5-15674E0C7607}"/>
            </a:ext>
          </a:extLst>
        </xdr:cNvPr>
        <xdr:cNvCxnSpPr/>
      </xdr:nvCxnSpPr>
      <xdr:spPr>
        <a:xfrm flipH="1">
          <a:off x="7147976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170916</xdr:colOff>
      <xdr:row>11</xdr:row>
      <xdr:rowOff>86559</xdr:rowOff>
    </xdr:from>
    <xdr:to>
      <xdr:col>31</xdr:col>
      <xdr:colOff>172312</xdr:colOff>
      <xdr:row>12</xdr:row>
      <xdr:rowOff>2872</xdr:rowOff>
    </xdr:to>
    <xdr:cxnSp macro="">
      <xdr:nvCxnSpPr>
        <xdr:cNvPr id="216" name="直線コネクタ 215">
          <a:extLst>
            <a:ext uri="{FF2B5EF4-FFF2-40B4-BE49-F238E27FC236}">
              <a16:creationId xmlns:a16="http://schemas.microsoft.com/office/drawing/2014/main" id="{6857519B-1F10-7A9C-C54E-886DC3C1C9FC}"/>
            </a:ext>
          </a:extLst>
        </xdr:cNvPr>
        <xdr:cNvCxnSpPr/>
      </xdr:nvCxnSpPr>
      <xdr:spPr>
        <a:xfrm flipH="1">
          <a:off x="7257516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40438</xdr:colOff>
      <xdr:row>11</xdr:row>
      <xdr:rowOff>86559</xdr:rowOff>
    </xdr:from>
    <xdr:to>
      <xdr:col>32</xdr:col>
      <xdr:colOff>41834</xdr:colOff>
      <xdr:row>12</xdr:row>
      <xdr:rowOff>2872</xdr:rowOff>
    </xdr:to>
    <xdr:cxnSp macro="">
      <xdr:nvCxnSpPr>
        <xdr:cNvPr id="217" name="直線コネクタ 216">
          <a:extLst>
            <a:ext uri="{FF2B5EF4-FFF2-40B4-BE49-F238E27FC236}">
              <a16:creationId xmlns:a16="http://schemas.microsoft.com/office/drawing/2014/main" id="{9B650240-48D0-9D9E-0D9D-EB99E43A5FB1}"/>
            </a:ext>
          </a:extLst>
        </xdr:cNvPr>
        <xdr:cNvCxnSpPr/>
      </xdr:nvCxnSpPr>
      <xdr:spPr>
        <a:xfrm flipH="1">
          <a:off x="7355638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152504</xdr:colOff>
      <xdr:row>11</xdr:row>
      <xdr:rowOff>86559</xdr:rowOff>
    </xdr:from>
    <xdr:to>
      <xdr:col>32</xdr:col>
      <xdr:colOff>153900</xdr:colOff>
      <xdr:row>12</xdr:row>
      <xdr:rowOff>2872</xdr:rowOff>
    </xdr:to>
    <xdr:cxnSp macro="">
      <xdr:nvCxnSpPr>
        <xdr:cNvPr id="218" name="直線コネクタ 217">
          <a:extLst>
            <a:ext uri="{FF2B5EF4-FFF2-40B4-BE49-F238E27FC236}">
              <a16:creationId xmlns:a16="http://schemas.microsoft.com/office/drawing/2014/main" id="{4818BF1F-4DEF-CBAD-570B-5DEAEAC6C1F5}"/>
            </a:ext>
          </a:extLst>
        </xdr:cNvPr>
        <xdr:cNvCxnSpPr/>
      </xdr:nvCxnSpPr>
      <xdr:spPr>
        <a:xfrm flipH="1">
          <a:off x="7467704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33</xdr:col>
      <xdr:colOff>45470</xdr:colOff>
      <xdr:row>11</xdr:row>
      <xdr:rowOff>86559</xdr:rowOff>
    </xdr:from>
    <xdr:to>
      <xdr:col>33</xdr:col>
      <xdr:colOff>46866</xdr:colOff>
      <xdr:row>12</xdr:row>
      <xdr:rowOff>2872</xdr:rowOff>
    </xdr:to>
    <xdr:cxnSp macro="">
      <xdr:nvCxnSpPr>
        <xdr:cNvPr id="219" name="直線コネクタ 218">
          <a:extLst>
            <a:ext uri="{FF2B5EF4-FFF2-40B4-BE49-F238E27FC236}">
              <a16:creationId xmlns:a16="http://schemas.microsoft.com/office/drawing/2014/main" id="{9E60E4A9-8DF2-A12B-D411-6BD28170B61B}"/>
            </a:ext>
          </a:extLst>
        </xdr:cNvPr>
        <xdr:cNvCxnSpPr/>
      </xdr:nvCxnSpPr>
      <xdr:spPr>
        <a:xfrm flipH="1">
          <a:off x="7589270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34</xdr:col>
      <xdr:colOff>16684</xdr:colOff>
      <xdr:row>10</xdr:row>
      <xdr:rowOff>148353</xdr:rowOff>
    </xdr:from>
    <xdr:ext cx="271228" cy="224998"/>
    <xdr:sp macro="" textlink="">
      <xdr:nvSpPr>
        <xdr:cNvPr id="220" name="テキスト ボックス 219">
          <a:extLst>
            <a:ext uri="{FF2B5EF4-FFF2-40B4-BE49-F238E27FC236}">
              <a16:creationId xmlns:a16="http://schemas.microsoft.com/office/drawing/2014/main" id="{5F66BEE8-BBFD-77F5-9E97-C174721F3CDB}"/>
            </a:ext>
          </a:extLst>
        </xdr:cNvPr>
        <xdr:cNvSpPr txBox="1"/>
      </xdr:nvSpPr>
      <xdr:spPr>
        <a:xfrm>
          <a:off x="7789084" y="2434353"/>
          <a:ext cx="27122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33</xdr:col>
      <xdr:colOff>160356</xdr:colOff>
      <xdr:row>11</xdr:row>
      <xdr:rowOff>86559</xdr:rowOff>
    </xdr:from>
    <xdr:to>
      <xdr:col>33</xdr:col>
      <xdr:colOff>161752</xdr:colOff>
      <xdr:row>12</xdr:row>
      <xdr:rowOff>2872</xdr:rowOff>
    </xdr:to>
    <xdr:cxnSp macro="">
      <xdr:nvCxnSpPr>
        <xdr:cNvPr id="224" name="直線コネクタ 223">
          <a:extLst>
            <a:ext uri="{FF2B5EF4-FFF2-40B4-BE49-F238E27FC236}">
              <a16:creationId xmlns:a16="http://schemas.microsoft.com/office/drawing/2014/main" id="{7FAB2DD4-5FF3-8B96-1A14-AF4F0F129CF2}"/>
            </a:ext>
          </a:extLst>
        </xdr:cNvPr>
        <xdr:cNvCxnSpPr/>
      </xdr:nvCxnSpPr>
      <xdr:spPr>
        <a:xfrm flipH="1">
          <a:off x="7704156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34</xdr:col>
      <xdr:colOff>45471</xdr:colOff>
      <xdr:row>11</xdr:row>
      <xdr:rowOff>86559</xdr:rowOff>
    </xdr:from>
    <xdr:to>
      <xdr:col>34</xdr:col>
      <xdr:colOff>46867</xdr:colOff>
      <xdr:row>12</xdr:row>
      <xdr:rowOff>2872</xdr:rowOff>
    </xdr:to>
    <xdr:cxnSp macro="">
      <xdr:nvCxnSpPr>
        <xdr:cNvPr id="226" name="直線コネクタ 225">
          <a:extLst>
            <a:ext uri="{FF2B5EF4-FFF2-40B4-BE49-F238E27FC236}">
              <a16:creationId xmlns:a16="http://schemas.microsoft.com/office/drawing/2014/main" id="{98101FE5-6015-6874-9B21-5F0DB0A77924}"/>
            </a:ext>
          </a:extLst>
        </xdr:cNvPr>
        <xdr:cNvCxnSpPr/>
      </xdr:nvCxnSpPr>
      <xdr:spPr>
        <a:xfrm flipH="1">
          <a:off x="7817871" y="2601159"/>
          <a:ext cx="1396" cy="14491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65</xdr:col>
      <xdr:colOff>173962</xdr:colOff>
      <xdr:row>18</xdr:row>
      <xdr:rowOff>101803</xdr:rowOff>
    </xdr:from>
    <xdr:ext cx="349135" cy="224998"/>
    <xdr:sp macro="" textlink="">
      <xdr:nvSpPr>
        <xdr:cNvPr id="295" name="テキスト ボックス 294">
          <a:extLst>
            <a:ext uri="{FF2B5EF4-FFF2-40B4-BE49-F238E27FC236}">
              <a16:creationId xmlns:a16="http://schemas.microsoft.com/office/drawing/2014/main" id="{DDA5031B-8726-4DE6-AFC5-C1C33D1EA0E6}"/>
            </a:ext>
          </a:extLst>
        </xdr:cNvPr>
        <xdr:cNvSpPr txBox="1"/>
      </xdr:nvSpPr>
      <xdr:spPr>
        <a:xfrm>
          <a:off x="15032962" y="4216603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59</xdr:col>
      <xdr:colOff>191194</xdr:colOff>
      <xdr:row>24</xdr:row>
      <xdr:rowOff>178653</xdr:rowOff>
    </xdr:from>
    <xdr:ext cx="386644" cy="224998"/>
    <xdr:sp macro="" textlink="$AZ$25">
      <xdr:nvSpPr>
        <xdr:cNvPr id="298" name="テキスト ボックス 297">
          <a:extLst>
            <a:ext uri="{FF2B5EF4-FFF2-40B4-BE49-F238E27FC236}">
              <a16:creationId xmlns:a16="http://schemas.microsoft.com/office/drawing/2014/main" id="{7D83C1E5-9C9B-C0FF-B555-74ED8BD3EB51}"/>
            </a:ext>
          </a:extLst>
        </xdr:cNvPr>
        <xdr:cNvSpPr txBox="1"/>
      </xdr:nvSpPr>
      <xdr:spPr>
        <a:xfrm>
          <a:off x="13678594" y="5893653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F3110B6-FA30-4232-9349-ED216DCF0FBE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23.3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58</xdr:col>
      <xdr:colOff>202687</xdr:colOff>
      <xdr:row>26</xdr:row>
      <xdr:rowOff>32159</xdr:rowOff>
    </xdr:from>
    <xdr:ext cx="249748" cy="224998"/>
    <xdr:sp macro="" textlink="">
      <xdr:nvSpPr>
        <xdr:cNvPr id="299" name="テキスト ボックス 298">
          <a:extLst>
            <a:ext uri="{FF2B5EF4-FFF2-40B4-BE49-F238E27FC236}">
              <a16:creationId xmlns:a16="http://schemas.microsoft.com/office/drawing/2014/main" id="{88AFB828-9DDF-FC0C-D040-918E8E8BEF0D}"/>
            </a:ext>
          </a:extLst>
        </xdr:cNvPr>
        <xdr:cNvSpPr txBox="1"/>
      </xdr:nvSpPr>
      <xdr:spPr>
        <a:xfrm>
          <a:off x="13461487" y="5975759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61</xdr:col>
      <xdr:colOff>105614</xdr:colOff>
      <xdr:row>25</xdr:row>
      <xdr:rowOff>108537</xdr:rowOff>
    </xdr:from>
    <xdr:to>
      <xdr:col>61</xdr:col>
      <xdr:colOff>105614</xdr:colOff>
      <xdr:row>25</xdr:row>
      <xdr:rowOff>219906</xdr:rowOff>
    </xdr:to>
    <xdr:cxnSp macro="">
      <xdr:nvCxnSpPr>
        <xdr:cNvPr id="300" name="直線コネクタ 299">
          <a:extLst>
            <a:ext uri="{FF2B5EF4-FFF2-40B4-BE49-F238E27FC236}">
              <a16:creationId xmlns:a16="http://schemas.microsoft.com/office/drawing/2014/main" id="{D746534D-2A67-99F3-6E72-E8FA61BA48F2}"/>
            </a:ext>
          </a:extLst>
        </xdr:cNvPr>
        <xdr:cNvCxnSpPr/>
      </xdr:nvCxnSpPr>
      <xdr:spPr>
        <a:xfrm>
          <a:off x="13999690" y="6113428"/>
          <a:ext cx="0" cy="111369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61</xdr:col>
      <xdr:colOff>122148</xdr:colOff>
      <xdr:row>26</xdr:row>
      <xdr:rowOff>83567</xdr:rowOff>
    </xdr:from>
    <xdr:ext cx="502061" cy="224998"/>
    <xdr:sp macro="" textlink="$AP$21">
      <xdr:nvSpPr>
        <xdr:cNvPr id="301" name="テキスト ボックス 300">
          <a:extLst>
            <a:ext uri="{FF2B5EF4-FFF2-40B4-BE49-F238E27FC236}">
              <a16:creationId xmlns:a16="http://schemas.microsoft.com/office/drawing/2014/main" id="{CB729FA2-7674-22F9-1158-780CC863E956}"/>
            </a:ext>
          </a:extLst>
        </xdr:cNvPr>
        <xdr:cNvSpPr txBox="1"/>
      </xdr:nvSpPr>
      <xdr:spPr>
        <a:xfrm>
          <a:off x="14066748" y="6027167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7A8657D-F4A5-4417-A965-787BEEFACFF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48.421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62</xdr:col>
      <xdr:colOff>7730</xdr:colOff>
      <xdr:row>24</xdr:row>
      <xdr:rowOff>164450</xdr:rowOff>
    </xdr:from>
    <xdr:ext cx="444352" cy="224998"/>
    <xdr:sp macro="" textlink="$AP$26">
      <xdr:nvSpPr>
        <xdr:cNvPr id="302" name="テキスト ボックス 301">
          <a:extLst>
            <a:ext uri="{FF2B5EF4-FFF2-40B4-BE49-F238E27FC236}">
              <a16:creationId xmlns:a16="http://schemas.microsoft.com/office/drawing/2014/main" id="{D050C16C-5F63-B76D-2869-75D6D64CEBC4}"/>
            </a:ext>
          </a:extLst>
        </xdr:cNvPr>
        <xdr:cNvSpPr txBox="1"/>
      </xdr:nvSpPr>
      <xdr:spPr>
        <a:xfrm>
          <a:off x="14349659" y="604273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F340B5C-E1A5-4CA7-AAE1-6121FABE60A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1.296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61</xdr:col>
      <xdr:colOff>121373</xdr:colOff>
      <xdr:row>25</xdr:row>
      <xdr:rowOff>201440</xdr:rowOff>
    </xdr:from>
    <xdr:ext cx="310791" cy="224998"/>
    <xdr:sp macro="" textlink="">
      <xdr:nvSpPr>
        <xdr:cNvPr id="303" name="テキスト ボックス 302">
          <a:extLst>
            <a:ext uri="{FF2B5EF4-FFF2-40B4-BE49-F238E27FC236}">
              <a16:creationId xmlns:a16="http://schemas.microsoft.com/office/drawing/2014/main" id="{6AF05AE1-56B3-7939-81A0-74D5428E1E85}"/>
            </a:ext>
          </a:extLst>
        </xdr:cNvPr>
        <xdr:cNvSpPr txBox="1"/>
      </xdr:nvSpPr>
      <xdr:spPr>
        <a:xfrm>
          <a:off x="14065973" y="5916440"/>
          <a:ext cx="31079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 baseline="-250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61</xdr:col>
      <xdr:colOff>110432</xdr:colOff>
      <xdr:row>25</xdr:row>
      <xdr:rowOff>221606</xdr:rowOff>
    </xdr:from>
    <xdr:to>
      <xdr:col>62</xdr:col>
      <xdr:colOff>103617</xdr:colOff>
      <xdr:row>25</xdr:row>
      <xdr:rowOff>221606</xdr:rowOff>
    </xdr:to>
    <xdr:cxnSp macro="">
      <xdr:nvCxnSpPr>
        <xdr:cNvPr id="304" name="直線コネクタ 303">
          <a:extLst>
            <a:ext uri="{FF2B5EF4-FFF2-40B4-BE49-F238E27FC236}">
              <a16:creationId xmlns:a16="http://schemas.microsoft.com/office/drawing/2014/main" id="{0E66B823-736B-C331-0BB9-3FB891926208}"/>
            </a:ext>
          </a:extLst>
        </xdr:cNvPr>
        <xdr:cNvCxnSpPr/>
      </xdr:nvCxnSpPr>
      <xdr:spPr>
        <a:xfrm>
          <a:off x="14055032" y="5936606"/>
          <a:ext cx="221785" cy="0"/>
        </a:xfrm>
        <a:prstGeom prst="line">
          <a:avLst/>
        </a:prstGeom>
        <a:ln w="28575">
          <a:solidFill>
            <a:srgbClr val="FF0000"/>
          </a:solidFill>
          <a:headEnd type="triangle" w="med" len="med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227498</xdr:colOff>
      <xdr:row>24</xdr:row>
      <xdr:rowOff>150368</xdr:rowOff>
    </xdr:from>
    <xdr:ext cx="302199" cy="224998"/>
    <xdr:sp macro="" textlink="">
      <xdr:nvSpPr>
        <xdr:cNvPr id="305" name="テキスト ボックス 304">
          <a:extLst>
            <a:ext uri="{FF2B5EF4-FFF2-40B4-BE49-F238E27FC236}">
              <a16:creationId xmlns:a16="http://schemas.microsoft.com/office/drawing/2014/main" id="{292C443B-3033-9941-2AA3-F0B8A4ED4343}"/>
            </a:ext>
          </a:extLst>
        </xdr:cNvPr>
        <xdr:cNvSpPr txBox="1"/>
      </xdr:nvSpPr>
      <xdr:spPr>
        <a:xfrm>
          <a:off x="13943498" y="5636768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 baseline="-250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62</xdr:col>
      <xdr:colOff>30248</xdr:colOff>
      <xdr:row>22</xdr:row>
      <xdr:rowOff>60913</xdr:rowOff>
    </xdr:from>
    <xdr:ext cx="425053" cy="224998"/>
    <xdr:sp macro="" textlink="$Q$19">
      <xdr:nvSpPr>
        <xdr:cNvPr id="306" name="テキスト ボックス 305">
          <a:extLst>
            <a:ext uri="{FF2B5EF4-FFF2-40B4-BE49-F238E27FC236}">
              <a16:creationId xmlns:a16="http://schemas.microsoft.com/office/drawing/2014/main" id="{D2A33881-A1DD-F45B-8462-52FA29087C64}"/>
            </a:ext>
          </a:extLst>
        </xdr:cNvPr>
        <xdr:cNvSpPr txBox="1"/>
      </xdr:nvSpPr>
      <xdr:spPr>
        <a:xfrm>
          <a:off x="14203448" y="5090113"/>
          <a:ext cx="42505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D6FB568-2EE3-4049-9D90-505B5BF28D9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-21.8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126299</xdr:colOff>
      <xdr:row>18</xdr:row>
      <xdr:rowOff>114904</xdr:rowOff>
    </xdr:from>
    <xdr:ext cx="300082" cy="224998"/>
    <xdr:sp macro="" textlink="$X$29">
      <xdr:nvSpPr>
        <xdr:cNvPr id="307" name="テキスト ボックス 306">
          <a:extLst>
            <a:ext uri="{FF2B5EF4-FFF2-40B4-BE49-F238E27FC236}">
              <a16:creationId xmlns:a16="http://schemas.microsoft.com/office/drawing/2014/main" id="{ABB192F5-6C10-A53C-0032-4B9A4B0950F5}"/>
            </a:ext>
          </a:extLst>
        </xdr:cNvPr>
        <xdr:cNvSpPr txBox="1"/>
      </xdr:nvSpPr>
      <xdr:spPr>
        <a:xfrm>
          <a:off x="15213899" y="4229704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1548C15-1C51-483B-92DB-9F11616FA5A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226708</xdr:colOff>
      <xdr:row>20</xdr:row>
      <xdr:rowOff>107707</xdr:rowOff>
    </xdr:from>
    <xdr:ext cx="559769" cy="224998"/>
    <xdr:sp macro="" textlink="$BM$9">
      <xdr:nvSpPr>
        <xdr:cNvPr id="308" name="テキスト ボックス 307">
          <a:extLst>
            <a:ext uri="{FF2B5EF4-FFF2-40B4-BE49-F238E27FC236}">
              <a16:creationId xmlns:a16="http://schemas.microsoft.com/office/drawing/2014/main" id="{32D257D9-CD0E-0A03-1692-B1DB2E12C6D2}"/>
            </a:ext>
          </a:extLst>
        </xdr:cNvPr>
        <xdr:cNvSpPr txBox="1"/>
      </xdr:nvSpPr>
      <xdr:spPr>
        <a:xfrm>
          <a:off x="14958708" y="4870207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04103AD-9EFF-4AD5-9256-1396E7ABEC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182.005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177227</xdr:colOff>
      <xdr:row>17</xdr:row>
      <xdr:rowOff>67504</xdr:rowOff>
    </xdr:from>
    <xdr:ext cx="444352" cy="224998"/>
    <xdr:sp macro="" textlink="$BM$7">
      <xdr:nvSpPr>
        <xdr:cNvPr id="309" name="テキスト ボックス 308">
          <a:extLst>
            <a:ext uri="{FF2B5EF4-FFF2-40B4-BE49-F238E27FC236}">
              <a16:creationId xmlns:a16="http://schemas.microsoft.com/office/drawing/2014/main" id="{FC8EE9B2-B800-0032-C28E-ECE059E823FF}"/>
            </a:ext>
          </a:extLst>
        </xdr:cNvPr>
        <xdr:cNvSpPr txBox="1"/>
      </xdr:nvSpPr>
      <xdr:spPr>
        <a:xfrm>
          <a:off x="15139415" y="41156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2C3E4A4-54BF-4603-AD1C-1B3EDDD89934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2.679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62</xdr:col>
      <xdr:colOff>25216</xdr:colOff>
      <xdr:row>28</xdr:row>
      <xdr:rowOff>91456</xdr:rowOff>
    </xdr:from>
    <xdr:ext cx="300082" cy="224998"/>
    <xdr:sp macro="" textlink="$BM$5">
      <xdr:nvSpPr>
        <xdr:cNvPr id="311" name="テキスト ボックス 310">
          <a:extLst>
            <a:ext uri="{FF2B5EF4-FFF2-40B4-BE49-F238E27FC236}">
              <a16:creationId xmlns:a16="http://schemas.microsoft.com/office/drawing/2014/main" id="{8D797F6D-C0F1-9339-3BB6-7A65CC60A99C}"/>
            </a:ext>
          </a:extLst>
        </xdr:cNvPr>
        <xdr:cNvSpPr txBox="1"/>
      </xdr:nvSpPr>
      <xdr:spPr>
        <a:xfrm>
          <a:off x="14296841" y="6758956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CCA0A3A-87B8-47D5-ABB8-AE7ABF9AD2C5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50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58</xdr:col>
      <xdr:colOff>154794</xdr:colOff>
      <xdr:row>29</xdr:row>
      <xdr:rowOff>197785</xdr:rowOff>
    </xdr:from>
    <xdr:to>
      <xdr:col>61</xdr:col>
      <xdr:colOff>103187</xdr:colOff>
      <xdr:row>29</xdr:row>
      <xdr:rowOff>197785</xdr:rowOff>
    </xdr:to>
    <xdr:cxnSp macro="">
      <xdr:nvCxnSpPr>
        <xdr:cNvPr id="313" name="直線コネクタ 312">
          <a:extLst>
            <a:ext uri="{FF2B5EF4-FFF2-40B4-BE49-F238E27FC236}">
              <a16:creationId xmlns:a16="http://schemas.microsoft.com/office/drawing/2014/main" id="{90DF5DDF-26BE-C69D-8FEE-84113941AE41}"/>
            </a:ext>
          </a:extLst>
        </xdr:cNvPr>
        <xdr:cNvCxnSpPr/>
      </xdr:nvCxnSpPr>
      <xdr:spPr>
        <a:xfrm>
          <a:off x="13505669" y="7103410"/>
          <a:ext cx="63895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102744</xdr:colOff>
      <xdr:row>29</xdr:row>
      <xdr:rowOff>50414</xdr:rowOff>
    </xdr:from>
    <xdr:to>
      <xdr:col>61</xdr:col>
      <xdr:colOff>102744</xdr:colOff>
      <xdr:row>30</xdr:row>
      <xdr:rowOff>13162</xdr:rowOff>
    </xdr:to>
    <xdr:cxnSp macro="">
      <xdr:nvCxnSpPr>
        <xdr:cNvPr id="314" name="直線コネクタ 313">
          <a:extLst>
            <a:ext uri="{FF2B5EF4-FFF2-40B4-BE49-F238E27FC236}">
              <a16:creationId xmlns:a16="http://schemas.microsoft.com/office/drawing/2014/main" id="{D0D0810E-349E-461B-C3E2-D03DF233D647}"/>
            </a:ext>
          </a:extLst>
        </xdr:cNvPr>
        <xdr:cNvCxnSpPr/>
      </xdr:nvCxnSpPr>
      <xdr:spPr>
        <a:xfrm>
          <a:off x="14047344" y="6679814"/>
          <a:ext cx="0" cy="19134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57</xdr:col>
      <xdr:colOff>55143</xdr:colOff>
      <xdr:row>25</xdr:row>
      <xdr:rowOff>222672</xdr:rowOff>
    </xdr:from>
    <xdr:to>
      <xdr:col>57</xdr:col>
      <xdr:colOff>55143</xdr:colOff>
      <xdr:row>29</xdr:row>
      <xdr:rowOff>67469</xdr:rowOff>
    </xdr:to>
    <xdr:cxnSp macro="">
      <xdr:nvCxnSpPr>
        <xdr:cNvPr id="321" name="直線コネクタ 320">
          <a:extLst>
            <a:ext uri="{FF2B5EF4-FFF2-40B4-BE49-F238E27FC236}">
              <a16:creationId xmlns:a16="http://schemas.microsoft.com/office/drawing/2014/main" id="{A35955E6-137B-24F6-5965-08C70C6F3A48}"/>
            </a:ext>
          </a:extLst>
        </xdr:cNvPr>
        <xdr:cNvCxnSpPr/>
      </xdr:nvCxnSpPr>
      <xdr:spPr>
        <a:xfrm>
          <a:off x="13175831" y="6175797"/>
          <a:ext cx="0" cy="797297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56</xdr:col>
      <xdr:colOff>69680</xdr:colOff>
      <xdr:row>27</xdr:row>
      <xdr:rowOff>102846</xdr:rowOff>
    </xdr:from>
    <xdr:ext cx="224998" cy="405688"/>
    <xdr:sp macro="" textlink="">
      <xdr:nvSpPr>
        <xdr:cNvPr id="322" name="テキスト ボックス 321">
          <a:extLst>
            <a:ext uri="{FF2B5EF4-FFF2-40B4-BE49-F238E27FC236}">
              <a16:creationId xmlns:a16="http://schemas.microsoft.com/office/drawing/2014/main" id="{95F06808-00E3-EE73-15B0-41157C0E2527}"/>
            </a:ext>
          </a:extLst>
        </xdr:cNvPr>
        <xdr:cNvSpPr txBox="1"/>
      </xdr:nvSpPr>
      <xdr:spPr>
        <a:xfrm rot="16200000">
          <a:off x="12780935" y="6365391"/>
          <a:ext cx="40568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57</xdr:col>
      <xdr:colOff>12428</xdr:colOff>
      <xdr:row>25</xdr:row>
      <xdr:rowOff>227432</xdr:rowOff>
    </xdr:from>
    <xdr:to>
      <xdr:col>57</xdr:col>
      <xdr:colOff>127195</xdr:colOff>
      <xdr:row>26</xdr:row>
      <xdr:rowOff>1689</xdr:rowOff>
    </xdr:to>
    <xdr:cxnSp macro="">
      <xdr:nvCxnSpPr>
        <xdr:cNvPr id="323" name="直線コネクタ 322">
          <a:extLst>
            <a:ext uri="{FF2B5EF4-FFF2-40B4-BE49-F238E27FC236}">
              <a16:creationId xmlns:a16="http://schemas.microsoft.com/office/drawing/2014/main" id="{3122598F-47D8-F3EB-6BE7-ECD951D1891C}"/>
            </a:ext>
          </a:extLst>
        </xdr:cNvPr>
        <xdr:cNvCxnSpPr/>
      </xdr:nvCxnSpPr>
      <xdr:spPr>
        <a:xfrm>
          <a:off x="13042628" y="5942432"/>
          <a:ext cx="114767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21</xdr:col>
      <xdr:colOff>47422</xdr:colOff>
      <xdr:row>15</xdr:row>
      <xdr:rowOff>29512</xdr:rowOff>
    </xdr:from>
    <xdr:ext cx="224998" cy="444352"/>
    <xdr:sp macro="" textlink="$AF$3">
      <xdr:nvSpPr>
        <xdr:cNvPr id="2" name="テキスト ボックス 1">
          <a:extLst>
            <a:ext uri="{FF2B5EF4-FFF2-40B4-BE49-F238E27FC236}">
              <a16:creationId xmlns:a16="http://schemas.microsoft.com/office/drawing/2014/main" id="{0E16700A-9B01-41FE-B534-9BD068315A71}"/>
            </a:ext>
          </a:extLst>
        </xdr:cNvPr>
        <xdr:cNvSpPr txBox="1"/>
      </xdr:nvSpPr>
      <xdr:spPr>
        <a:xfrm rot="16200000">
          <a:off x="4738345" y="356818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39CD967-049C-4A91-903B-5C79BD75187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96078</xdr:colOff>
      <xdr:row>9</xdr:row>
      <xdr:rowOff>117785</xdr:rowOff>
    </xdr:from>
    <xdr:ext cx="444352" cy="224998"/>
    <xdr:sp macro="" textlink="$AF$4">
      <xdr:nvSpPr>
        <xdr:cNvPr id="3" name="テキスト ボックス 2">
          <a:extLst>
            <a:ext uri="{FF2B5EF4-FFF2-40B4-BE49-F238E27FC236}">
              <a16:creationId xmlns:a16="http://schemas.microsoft.com/office/drawing/2014/main" id="{AE2CCA62-5567-44D9-AEA5-C0AFEE0BEBAC}"/>
            </a:ext>
          </a:extLst>
        </xdr:cNvPr>
        <xdr:cNvSpPr txBox="1"/>
      </xdr:nvSpPr>
      <xdr:spPr>
        <a:xfrm>
          <a:off x="6268278" y="217518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CBAA683-5411-4221-B397-94521DA35B85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34525</xdr:colOff>
      <xdr:row>15</xdr:row>
      <xdr:rowOff>76210</xdr:rowOff>
    </xdr:from>
    <xdr:ext cx="224998" cy="328936"/>
    <xdr:sp macro="" textlink="$AF$8">
      <xdr:nvSpPr>
        <xdr:cNvPr id="5" name="テキスト ボックス 4">
          <a:extLst>
            <a:ext uri="{FF2B5EF4-FFF2-40B4-BE49-F238E27FC236}">
              <a16:creationId xmlns:a16="http://schemas.microsoft.com/office/drawing/2014/main" id="{442EB8B5-5E89-4F86-9A55-AF3EB6AD1E41}"/>
            </a:ext>
          </a:extLst>
        </xdr:cNvPr>
        <xdr:cNvSpPr txBox="1"/>
      </xdr:nvSpPr>
      <xdr:spPr>
        <a:xfrm rot="17160000">
          <a:off x="6099151" y="3526287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4D3AC5E-1C94-4B9A-9B96-1DC5F6FB9B2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221515</xdr:colOff>
      <xdr:row>22</xdr:row>
      <xdr:rowOff>65455</xdr:rowOff>
    </xdr:from>
    <xdr:ext cx="444352" cy="224998"/>
    <xdr:sp macro="" textlink="$AF$5">
      <xdr:nvSpPr>
        <xdr:cNvPr id="6" name="テキスト ボックス 5">
          <a:extLst>
            <a:ext uri="{FF2B5EF4-FFF2-40B4-BE49-F238E27FC236}">
              <a16:creationId xmlns:a16="http://schemas.microsoft.com/office/drawing/2014/main" id="{F7BBBBD6-87C1-4DE5-A159-9DFBE65C8956}"/>
            </a:ext>
          </a:extLst>
        </xdr:cNvPr>
        <xdr:cNvSpPr txBox="1"/>
      </xdr:nvSpPr>
      <xdr:spPr>
        <a:xfrm>
          <a:off x="5479315" y="509465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524262D-6895-411D-A697-1FAABA92A8A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148071</xdr:colOff>
      <xdr:row>26</xdr:row>
      <xdr:rowOff>4662</xdr:rowOff>
    </xdr:from>
    <xdr:ext cx="300082" cy="224998"/>
    <xdr:sp macro="" textlink="$R$17">
      <xdr:nvSpPr>
        <xdr:cNvPr id="10" name="テキスト ボックス 9">
          <a:extLst>
            <a:ext uri="{FF2B5EF4-FFF2-40B4-BE49-F238E27FC236}">
              <a16:creationId xmlns:a16="http://schemas.microsoft.com/office/drawing/2014/main" id="{395F7D7E-D959-AAEC-41ED-01B8A6808E45}"/>
            </a:ext>
          </a:extLst>
        </xdr:cNvPr>
        <xdr:cNvSpPr txBox="1"/>
      </xdr:nvSpPr>
      <xdr:spPr>
        <a:xfrm>
          <a:off x="15007071" y="5948262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0AE8EF1-47D7-488D-BEE2-D62F025A2C84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56</xdr:col>
      <xdr:colOff>64426</xdr:colOff>
      <xdr:row>25</xdr:row>
      <xdr:rowOff>225404</xdr:rowOff>
    </xdr:from>
    <xdr:ext cx="224998" cy="444352"/>
    <xdr:sp macro="" textlink="$AP$31">
      <xdr:nvSpPr>
        <xdr:cNvPr id="11" name="テキスト ボックス 10">
          <a:extLst>
            <a:ext uri="{FF2B5EF4-FFF2-40B4-BE49-F238E27FC236}">
              <a16:creationId xmlns:a16="http://schemas.microsoft.com/office/drawing/2014/main" id="{EBD6EC8A-0BDA-45F1-9114-CAD713B2609D}"/>
            </a:ext>
          </a:extLst>
        </xdr:cNvPr>
        <xdr:cNvSpPr txBox="1"/>
      </xdr:nvSpPr>
      <xdr:spPr>
        <a:xfrm rot="16200000">
          <a:off x="12756349" y="60500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1C5BC83-4C88-497D-8B96-D5DD060EBBF4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2.033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59</xdr:col>
      <xdr:colOff>75731</xdr:colOff>
      <xdr:row>29</xdr:row>
      <xdr:rowOff>156328</xdr:rowOff>
    </xdr:from>
    <xdr:ext cx="444352" cy="224998"/>
    <xdr:sp macro="" textlink="$AP$35">
      <xdr:nvSpPr>
        <xdr:cNvPr id="13" name="テキスト ボックス 12">
          <a:extLst>
            <a:ext uri="{FF2B5EF4-FFF2-40B4-BE49-F238E27FC236}">
              <a16:creationId xmlns:a16="http://schemas.microsoft.com/office/drawing/2014/main" id="{13FE6523-330D-4E6B-B634-1945D470870D}"/>
            </a:ext>
          </a:extLst>
        </xdr:cNvPr>
        <xdr:cNvSpPr txBox="1"/>
      </xdr:nvSpPr>
      <xdr:spPr>
        <a:xfrm>
          <a:off x="13563131" y="678572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C911F49-822C-4926-9808-75D0D47A98E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1.893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61</xdr:col>
      <xdr:colOff>23088</xdr:colOff>
      <xdr:row>26</xdr:row>
      <xdr:rowOff>91187</xdr:rowOff>
    </xdr:from>
    <xdr:ext cx="249748" cy="224998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693839D2-0163-666C-14B4-5C1DBCD39F38}"/>
            </a:ext>
          </a:extLst>
        </xdr:cNvPr>
        <xdr:cNvSpPr txBox="1"/>
      </xdr:nvSpPr>
      <xdr:spPr>
        <a:xfrm>
          <a:off x="13967688" y="6034787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61</xdr:col>
      <xdr:colOff>152628</xdr:colOff>
      <xdr:row>24</xdr:row>
      <xdr:rowOff>175007</xdr:rowOff>
    </xdr:from>
    <xdr:ext cx="249748" cy="224998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892E1E02-D9E5-73CD-17B3-088EA00325D4}"/>
            </a:ext>
          </a:extLst>
        </xdr:cNvPr>
        <xdr:cNvSpPr txBox="1"/>
      </xdr:nvSpPr>
      <xdr:spPr>
        <a:xfrm>
          <a:off x="14097228" y="5661407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59</xdr:col>
      <xdr:colOff>73147</xdr:colOff>
      <xdr:row>26</xdr:row>
      <xdr:rowOff>24539</xdr:rowOff>
    </xdr:from>
    <xdr:ext cx="502061" cy="224998"/>
    <xdr:sp macro="" textlink="$BM$11">
      <xdr:nvSpPr>
        <xdr:cNvPr id="16" name="テキスト ボックス 15">
          <a:extLst>
            <a:ext uri="{FF2B5EF4-FFF2-40B4-BE49-F238E27FC236}">
              <a16:creationId xmlns:a16="http://schemas.microsoft.com/office/drawing/2014/main" id="{B884D4B8-3713-D570-181E-F71427B4F335}"/>
            </a:ext>
          </a:extLst>
        </xdr:cNvPr>
        <xdr:cNvSpPr txBox="1"/>
      </xdr:nvSpPr>
      <xdr:spPr>
        <a:xfrm>
          <a:off x="13560547" y="6215789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44E218E-D87A-463D-89A5-0E760D7DD23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48.438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157780</xdr:colOff>
      <xdr:row>12</xdr:row>
      <xdr:rowOff>21717</xdr:rowOff>
    </xdr:from>
    <xdr:to>
      <xdr:col>28</xdr:col>
      <xdr:colOff>101782</xdr:colOff>
      <xdr:row>12</xdr:row>
      <xdr:rowOff>21717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6832FDAE-26DE-4D78-AA80-BE1975EC3561}"/>
            </a:ext>
          </a:extLst>
        </xdr:cNvPr>
        <xdr:cNvCxnSpPr/>
      </xdr:nvCxnSpPr>
      <xdr:spPr>
        <a:xfrm>
          <a:off x="6063280" y="2923179"/>
          <a:ext cx="39827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20</xdr:col>
      <xdr:colOff>226014</xdr:colOff>
      <xdr:row>12</xdr:row>
      <xdr:rowOff>21080</xdr:rowOff>
    </xdr:from>
    <xdr:to>
      <xdr:col>25</xdr:col>
      <xdr:colOff>180237</xdr:colOff>
      <xdr:row>12</xdr:row>
      <xdr:rowOff>21080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3F121281-15E6-41EF-A4BB-8A6AD4BAF3F6}"/>
            </a:ext>
          </a:extLst>
        </xdr:cNvPr>
        <xdr:cNvCxnSpPr/>
      </xdr:nvCxnSpPr>
      <xdr:spPr>
        <a:xfrm>
          <a:off x="4768706" y="2922542"/>
          <a:ext cx="108989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21</xdr:col>
      <xdr:colOff>43557</xdr:colOff>
      <xdr:row>21</xdr:row>
      <xdr:rowOff>123011</xdr:rowOff>
    </xdr:from>
    <xdr:to>
      <xdr:col>23</xdr:col>
      <xdr:colOff>70531</xdr:colOff>
      <xdr:row>21</xdr:row>
      <xdr:rowOff>123011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2A2FF3E7-A21E-43E3-B1AB-4BB836F6B42D}"/>
            </a:ext>
          </a:extLst>
        </xdr:cNvPr>
        <xdr:cNvCxnSpPr/>
      </xdr:nvCxnSpPr>
      <xdr:spPr>
        <a:xfrm>
          <a:off x="4813384" y="5200569"/>
          <a:ext cx="48124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205797</xdr:colOff>
      <xdr:row>22</xdr:row>
      <xdr:rowOff>115668</xdr:rowOff>
    </xdr:from>
    <xdr:to>
      <xdr:col>25</xdr:col>
      <xdr:colOff>221800</xdr:colOff>
      <xdr:row>22</xdr:row>
      <xdr:rowOff>115668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E452DB3D-2A75-43DC-BA5E-FC5BF1D07703}"/>
            </a:ext>
          </a:extLst>
        </xdr:cNvPr>
        <xdr:cNvCxnSpPr/>
      </xdr:nvCxnSpPr>
      <xdr:spPr>
        <a:xfrm>
          <a:off x="5429893" y="5435014"/>
          <a:ext cx="470272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203395</xdr:colOff>
      <xdr:row>21</xdr:row>
      <xdr:rowOff>218649</xdr:rowOff>
    </xdr:from>
    <xdr:to>
      <xdr:col>23</xdr:col>
      <xdr:colOff>203395</xdr:colOff>
      <xdr:row>22</xdr:row>
      <xdr:rowOff>181341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E95B95BE-E18E-4535-8C0C-EE6C2AFAB9BE}"/>
            </a:ext>
          </a:extLst>
        </xdr:cNvPr>
        <xdr:cNvCxnSpPr/>
      </xdr:nvCxnSpPr>
      <xdr:spPr>
        <a:xfrm>
          <a:off x="5427491" y="5296207"/>
          <a:ext cx="0" cy="20448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184447</xdr:colOff>
      <xdr:row>12</xdr:row>
      <xdr:rowOff>22976</xdr:rowOff>
    </xdr:from>
    <xdr:to>
      <xdr:col>28</xdr:col>
      <xdr:colOff>101259</xdr:colOff>
      <xdr:row>21</xdr:row>
      <xdr:rowOff>6222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1A43448A-4A30-4360-8EA4-84A2A6A697BA}"/>
            </a:ext>
          </a:extLst>
        </xdr:cNvPr>
        <xdr:cNvCxnSpPr/>
      </xdr:nvCxnSpPr>
      <xdr:spPr>
        <a:xfrm flipH="1">
          <a:off x="5862812" y="2924438"/>
          <a:ext cx="598216" cy="2159342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218832</xdr:colOff>
      <xdr:row>21</xdr:row>
      <xdr:rowOff>209124</xdr:rowOff>
    </xdr:from>
    <xdr:to>
      <xdr:col>25</xdr:col>
      <xdr:colOff>218832</xdr:colOff>
      <xdr:row>22</xdr:row>
      <xdr:rowOff>161462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B90EBEAA-AEDE-45AA-8CCA-590DE71A538D}"/>
            </a:ext>
          </a:extLst>
        </xdr:cNvPr>
        <xdr:cNvCxnSpPr/>
      </xdr:nvCxnSpPr>
      <xdr:spPr>
        <a:xfrm>
          <a:off x="5897197" y="5286682"/>
          <a:ext cx="0" cy="194126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11817</xdr:colOff>
      <xdr:row>12</xdr:row>
      <xdr:rowOff>18213</xdr:rowOff>
    </xdr:from>
    <xdr:to>
      <xdr:col>26</xdr:col>
      <xdr:colOff>157013</xdr:colOff>
      <xdr:row>21</xdr:row>
      <xdr:rowOff>5813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084BCC39-D844-4ACE-83A2-3759096608F6}"/>
            </a:ext>
          </a:extLst>
        </xdr:cNvPr>
        <xdr:cNvCxnSpPr/>
      </xdr:nvCxnSpPr>
      <xdr:spPr>
        <a:xfrm flipH="1">
          <a:off x="5463048" y="2919675"/>
          <a:ext cx="599465" cy="216369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196804</xdr:colOff>
      <xdr:row>21</xdr:row>
      <xdr:rowOff>10167</xdr:rowOff>
    </xdr:from>
    <xdr:to>
      <xdr:col>25</xdr:col>
      <xdr:colOff>212807</xdr:colOff>
      <xdr:row>21</xdr:row>
      <xdr:rowOff>118167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7894FE88-5238-4D52-AA0D-052730079D9E}"/>
            </a:ext>
          </a:extLst>
        </xdr:cNvPr>
        <xdr:cNvSpPr/>
      </xdr:nvSpPr>
      <xdr:spPr>
        <a:xfrm>
          <a:off x="5420900" y="5087725"/>
          <a:ext cx="470272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21</xdr:col>
      <xdr:colOff>96533</xdr:colOff>
      <xdr:row>12</xdr:row>
      <xdr:rowOff>21906</xdr:rowOff>
    </xdr:from>
    <xdr:to>
      <xdr:col>21</xdr:col>
      <xdr:colOff>96533</xdr:colOff>
      <xdr:row>21</xdr:row>
      <xdr:rowOff>126577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BA33ED2A-C803-44DE-B018-43386A2BC0BA}"/>
            </a:ext>
          </a:extLst>
        </xdr:cNvPr>
        <xdr:cNvCxnSpPr/>
      </xdr:nvCxnSpPr>
      <xdr:spPr>
        <a:xfrm>
          <a:off x="4866360" y="2923368"/>
          <a:ext cx="0" cy="2280767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92598</xdr:colOff>
      <xdr:row>12</xdr:row>
      <xdr:rowOff>145190</xdr:rowOff>
    </xdr:from>
    <xdr:to>
      <xdr:col>27</xdr:col>
      <xdr:colOff>200293</xdr:colOff>
      <xdr:row>21</xdr:row>
      <xdr:rowOff>6222</xdr:rowOff>
    </xdr:to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3451B844-4E00-4BE9-AD6D-ED54DEE96950}"/>
            </a:ext>
          </a:extLst>
        </xdr:cNvPr>
        <xdr:cNvCxnSpPr/>
      </xdr:nvCxnSpPr>
      <xdr:spPr>
        <a:xfrm flipH="1">
          <a:off x="5770963" y="3046652"/>
          <a:ext cx="561965" cy="203712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117741</xdr:colOff>
      <xdr:row>19</xdr:row>
      <xdr:rowOff>115070</xdr:rowOff>
    </xdr:from>
    <xdr:to>
      <xdr:col>25</xdr:col>
      <xdr:colOff>197654</xdr:colOff>
      <xdr:row>19</xdr:row>
      <xdr:rowOff>115070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C1D15B5E-3978-4DF1-A934-C9694B87DC8F}"/>
            </a:ext>
          </a:extLst>
        </xdr:cNvPr>
        <xdr:cNvCxnSpPr/>
      </xdr:nvCxnSpPr>
      <xdr:spPr>
        <a:xfrm>
          <a:off x="5568972" y="4709051"/>
          <a:ext cx="30704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217890</xdr:colOff>
      <xdr:row>18</xdr:row>
      <xdr:rowOff>3452</xdr:rowOff>
    </xdr:from>
    <xdr:to>
      <xdr:col>26</xdr:col>
      <xdr:colOff>71804</xdr:colOff>
      <xdr:row>18</xdr:row>
      <xdr:rowOff>3452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E51B6680-88D1-4EA5-B9FC-853279A5A1C2}"/>
            </a:ext>
          </a:extLst>
        </xdr:cNvPr>
        <xdr:cNvCxnSpPr/>
      </xdr:nvCxnSpPr>
      <xdr:spPr>
        <a:xfrm>
          <a:off x="5669121" y="4355644"/>
          <a:ext cx="30818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87686</xdr:colOff>
      <xdr:row>16</xdr:row>
      <xdr:rowOff>115496</xdr:rowOff>
    </xdr:from>
    <xdr:to>
      <xdr:col>26</xdr:col>
      <xdr:colOff>167598</xdr:colOff>
      <xdr:row>16</xdr:row>
      <xdr:rowOff>115496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42CFEF97-B84D-401B-B307-BC880CAB73EA}"/>
            </a:ext>
          </a:extLst>
        </xdr:cNvPr>
        <xdr:cNvCxnSpPr/>
      </xdr:nvCxnSpPr>
      <xdr:spPr>
        <a:xfrm>
          <a:off x="5766051" y="3984111"/>
          <a:ext cx="30704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192189</xdr:colOff>
      <xdr:row>14</xdr:row>
      <xdr:rowOff>234779</xdr:rowOff>
    </xdr:from>
    <xdr:to>
      <xdr:col>27</xdr:col>
      <xdr:colOff>44966</xdr:colOff>
      <xdr:row>15</xdr:row>
      <xdr:rowOff>619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C737D7DE-125F-44E0-9062-804360C2F4D9}"/>
            </a:ext>
          </a:extLst>
        </xdr:cNvPr>
        <xdr:cNvCxnSpPr/>
      </xdr:nvCxnSpPr>
      <xdr:spPr>
        <a:xfrm>
          <a:off x="5870554" y="3619817"/>
          <a:ext cx="30704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75047</xdr:colOff>
      <xdr:row>13</xdr:row>
      <xdr:rowOff>107210</xdr:rowOff>
    </xdr:from>
    <xdr:to>
      <xdr:col>27</xdr:col>
      <xdr:colOff>154959</xdr:colOff>
      <xdr:row>13</xdr:row>
      <xdr:rowOff>107210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64BB1680-9470-4DE2-9C4B-DCCF5A8DA283}"/>
            </a:ext>
          </a:extLst>
        </xdr:cNvPr>
        <xdr:cNvCxnSpPr/>
      </xdr:nvCxnSpPr>
      <xdr:spPr>
        <a:xfrm>
          <a:off x="5980547" y="3250460"/>
          <a:ext cx="30704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113827</xdr:colOff>
      <xdr:row>12</xdr:row>
      <xdr:rowOff>139691</xdr:rowOff>
    </xdr:from>
    <xdr:to>
      <xdr:col>28</xdr:col>
      <xdr:colOff>74285</xdr:colOff>
      <xdr:row>12</xdr:row>
      <xdr:rowOff>139691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27F78AFA-6EE2-40B9-9051-240C0901E0EB}"/>
            </a:ext>
          </a:extLst>
        </xdr:cNvPr>
        <xdr:cNvCxnSpPr/>
      </xdr:nvCxnSpPr>
      <xdr:spPr>
        <a:xfrm>
          <a:off x="6019327" y="3041153"/>
          <a:ext cx="41472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162982</xdr:colOff>
      <xdr:row>10</xdr:row>
      <xdr:rowOff>133190</xdr:rowOff>
    </xdr:from>
    <xdr:to>
      <xdr:col>28</xdr:col>
      <xdr:colOff>111339</xdr:colOff>
      <xdr:row>10</xdr:row>
      <xdr:rowOff>133190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3A92159A-71C9-4DD8-A3FB-A713158F0BD6}"/>
            </a:ext>
          </a:extLst>
        </xdr:cNvPr>
        <xdr:cNvCxnSpPr/>
      </xdr:nvCxnSpPr>
      <xdr:spPr>
        <a:xfrm>
          <a:off x="6177339" y="2582476"/>
          <a:ext cx="41100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160580</xdr:colOff>
      <xdr:row>10</xdr:row>
      <xdr:rowOff>112346</xdr:rowOff>
    </xdr:from>
    <xdr:to>
      <xdr:col>26</xdr:col>
      <xdr:colOff>160580</xdr:colOff>
      <xdr:row>11</xdr:row>
      <xdr:rowOff>75038</xdr:rowOff>
    </xdr:to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62612E8B-1D9E-4571-9156-25FC358AA6E5}"/>
            </a:ext>
          </a:extLst>
        </xdr:cNvPr>
        <xdr:cNvCxnSpPr/>
      </xdr:nvCxnSpPr>
      <xdr:spPr>
        <a:xfrm>
          <a:off x="6174937" y="2561632"/>
          <a:ext cx="0" cy="20762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30</xdr:col>
      <xdr:colOff>3696</xdr:colOff>
      <xdr:row>11</xdr:row>
      <xdr:rowOff>231774</xdr:rowOff>
    </xdr:from>
    <xdr:ext cx="224998" cy="213520"/>
    <xdr:sp macro="" textlink="$T$10">
      <xdr:nvSpPr>
        <xdr:cNvPr id="53" name="テキスト ボックス 52">
          <a:extLst>
            <a:ext uri="{FF2B5EF4-FFF2-40B4-BE49-F238E27FC236}">
              <a16:creationId xmlns:a16="http://schemas.microsoft.com/office/drawing/2014/main" id="{9B117B38-4D91-4C3D-A199-48526A27EFB8}"/>
            </a:ext>
          </a:extLst>
        </xdr:cNvPr>
        <xdr:cNvSpPr txBox="1"/>
      </xdr:nvSpPr>
      <xdr:spPr>
        <a:xfrm rot="16200000">
          <a:off x="6949078" y="2920249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147809</xdr:colOff>
      <xdr:row>21</xdr:row>
      <xdr:rowOff>5443</xdr:rowOff>
    </xdr:from>
    <xdr:to>
      <xdr:col>25</xdr:col>
      <xdr:colOff>178820</xdr:colOff>
      <xdr:row>21</xdr:row>
      <xdr:rowOff>115498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7CC5E060-3D5C-4857-96AD-DC8BE9EF4FF8}"/>
            </a:ext>
          </a:extLst>
        </xdr:cNvPr>
        <xdr:cNvCxnSpPr/>
      </xdr:nvCxnSpPr>
      <xdr:spPr>
        <a:xfrm flipH="1">
          <a:off x="5862809" y="5034643"/>
          <a:ext cx="31011" cy="110055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55</xdr:col>
      <xdr:colOff>229008</xdr:colOff>
      <xdr:row>24</xdr:row>
      <xdr:rowOff>68213</xdr:rowOff>
    </xdr:from>
    <xdr:ext cx="224998" cy="361959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C4207E1-E41E-4EFD-A3EF-EF0BEDB825A0}"/>
            </a:ext>
          </a:extLst>
        </xdr:cNvPr>
        <xdr:cNvSpPr txBox="1"/>
      </xdr:nvSpPr>
      <xdr:spPr>
        <a:xfrm rot="16200000">
          <a:off x="12820840" y="5851694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57</xdr:col>
      <xdr:colOff>185387</xdr:colOff>
      <xdr:row>30</xdr:row>
      <xdr:rowOff>218875</xdr:rowOff>
    </xdr:from>
    <xdr:ext cx="349135" cy="224998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C8F31D7E-2674-4F7C-974F-A5768548BB0B}"/>
            </a:ext>
          </a:extLst>
        </xdr:cNvPr>
        <xdr:cNvSpPr txBox="1"/>
      </xdr:nvSpPr>
      <xdr:spPr>
        <a:xfrm>
          <a:off x="13306075" y="7362625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61</xdr:col>
      <xdr:colOff>78999</xdr:colOff>
      <xdr:row>17</xdr:row>
      <xdr:rowOff>71747</xdr:rowOff>
    </xdr:from>
    <xdr:ext cx="336311" cy="22499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564AA78-F302-4C66-974A-21C86F22CE21}"/>
            </a:ext>
          </a:extLst>
        </xdr:cNvPr>
        <xdr:cNvSpPr txBox="1"/>
      </xdr:nvSpPr>
      <xdr:spPr>
        <a:xfrm>
          <a:off x="14120437" y="4119872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57887</xdr:colOff>
      <xdr:row>18</xdr:row>
      <xdr:rowOff>42875</xdr:rowOff>
    </xdr:from>
    <xdr:to>
      <xdr:col>63</xdr:col>
      <xdr:colOff>57887</xdr:colOff>
      <xdr:row>18</xdr:row>
      <xdr:rowOff>221202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73894510-F6A1-49DF-A30D-56B5B509FF32}"/>
            </a:ext>
          </a:extLst>
        </xdr:cNvPr>
        <xdr:cNvCxnSpPr/>
      </xdr:nvCxnSpPr>
      <xdr:spPr>
        <a:xfrm>
          <a:off x="14559700" y="4329125"/>
          <a:ext cx="0" cy="17832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63684</xdr:colOff>
      <xdr:row>19</xdr:row>
      <xdr:rowOff>207558</xdr:rowOff>
    </xdr:from>
    <xdr:to>
      <xdr:col>68</xdr:col>
      <xdr:colOff>225124</xdr:colOff>
      <xdr:row>19</xdr:row>
      <xdr:rowOff>207558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B69BBDC9-49E5-46DE-9C01-944EE2DAAD0A}"/>
            </a:ext>
          </a:extLst>
        </xdr:cNvPr>
        <xdr:cNvCxnSpPr/>
      </xdr:nvCxnSpPr>
      <xdr:spPr>
        <a:xfrm>
          <a:off x="14565497" y="4731933"/>
          <a:ext cx="1312377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64</xdr:col>
      <xdr:colOff>172766</xdr:colOff>
      <xdr:row>17</xdr:row>
      <xdr:rowOff>71747</xdr:rowOff>
    </xdr:from>
    <xdr:ext cx="374783" cy="224998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1B09709F-C601-47FF-B167-2E23BE876877}"/>
            </a:ext>
          </a:extLst>
        </xdr:cNvPr>
        <xdr:cNvSpPr txBox="1"/>
      </xdr:nvSpPr>
      <xdr:spPr>
        <a:xfrm>
          <a:off x="14904766" y="4119872"/>
          <a:ext cx="37478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u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48182</xdr:colOff>
      <xdr:row>28</xdr:row>
      <xdr:rowOff>172114</xdr:rowOff>
    </xdr:from>
    <xdr:to>
      <xdr:col>61</xdr:col>
      <xdr:colOff>54555</xdr:colOff>
      <xdr:row>29</xdr:row>
      <xdr:rowOff>167342</xdr:rowOff>
    </xdr:to>
    <xdr:sp macro="" textlink="">
      <xdr:nvSpPr>
        <xdr:cNvPr id="27" name="円弧 26">
          <a:extLst>
            <a:ext uri="{FF2B5EF4-FFF2-40B4-BE49-F238E27FC236}">
              <a16:creationId xmlns:a16="http://schemas.microsoft.com/office/drawing/2014/main" id="{17EA10B9-D6F6-47C8-889D-4FD1116F0048}"/>
            </a:ext>
          </a:extLst>
        </xdr:cNvPr>
        <xdr:cNvSpPr/>
      </xdr:nvSpPr>
      <xdr:spPr>
        <a:xfrm rot="1800000">
          <a:off x="13859432" y="6839614"/>
          <a:ext cx="236561" cy="233353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60</xdr:col>
      <xdr:colOff>109736</xdr:colOff>
      <xdr:row>29</xdr:row>
      <xdr:rowOff>74887</xdr:rowOff>
    </xdr:from>
    <xdr:to>
      <xdr:col>62</xdr:col>
      <xdr:colOff>209128</xdr:colOff>
      <xdr:row>29</xdr:row>
      <xdr:rowOff>74887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4645CFEF-A4FE-4D1B-A881-F14B77B7D7EA}"/>
            </a:ext>
          </a:extLst>
        </xdr:cNvPr>
        <xdr:cNvCxnSpPr/>
      </xdr:nvCxnSpPr>
      <xdr:spPr>
        <a:xfrm>
          <a:off x="13920986" y="6980512"/>
          <a:ext cx="559767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61</xdr:col>
      <xdr:colOff>40320</xdr:colOff>
      <xdr:row>28</xdr:row>
      <xdr:rowOff>76539</xdr:rowOff>
    </xdr:from>
    <xdr:ext cx="355097" cy="242374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29DEC6F5-A6D9-4254-9B5B-BC15EDC497CD}"/>
            </a:ext>
          </a:extLst>
        </xdr:cNvPr>
        <xdr:cNvSpPr txBox="1"/>
      </xdr:nvSpPr>
      <xdr:spPr>
        <a:xfrm>
          <a:off x="14081758" y="6744039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ω=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62</xdr:col>
      <xdr:colOff>142957</xdr:colOff>
      <xdr:row>20</xdr:row>
      <xdr:rowOff>204492</xdr:rowOff>
    </xdr:from>
    <xdr:to>
      <xdr:col>63</xdr:col>
      <xdr:colOff>148191</xdr:colOff>
      <xdr:row>21</xdr:row>
      <xdr:rowOff>200634</xdr:rowOff>
    </xdr:to>
    <xdr:sp macro="" textlink="">
      <xdr:nvSpPr>
        <xdr:cNvPr id="32" name="円弧 31">
          <a:extLst>
            <a:ext uri="{FF2B5EF4-FFF2-40B4-BE49-F238E27FC236}">
              <a16:creationId xmlns:a16="http://schemas.microsoft.com/office/drawing/2014/main" id="{2B50A4FD-7744-4057-BF98-50DAE9936EE7}"/>
            </a:ext>
          </a:extLst>
        </xdr:cNvPr>
        <xdr:cNvSpPr/>
      </xdr:nvSpPr>
      <xdr:spPr>
        <a:xfrm rot="9761260">
          <a:off x="14414582" y="4966992"/>
          <a:ext cx="235422" cy="234267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63</xdr:col>
      <xdr:colOff>62670</xdr:colOff>
      <xdr:row>19</xdr:row>
      <xdr:rowOff>208385</xdr:rowOff>
    </xdr:from>
    <xdr:to>
      <xdr:col>63</xdr:col>
      <xdr:colOff>62670</xdr:colOff>
      <xdr:row>22</xdr:row>
      <xdr:rowOff>166479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6D9D30EF-3A1D-4EC1-9BCA-D3D8464588ED}"/>
            </a:ext>
          </a:extLst>
        </xdr:cNvPr>
        <xdr:cNvCxnSpPr/>
      </xdr:nvCxnSpPr>
      <xdr:spPr>
        <a:xfrm>
          <a:off x="14564483" y="4732760"/>
          <a:ext cx="0" cy="672469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59469</xdr:colOff>
      <xdr:row>21</xdr:row>
      <xdr:rowOff>165399</xdr:rowOff>
    </xdr:from>
    <xdr:ext cx="355097" cy="242374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FBDF0648-15FB-4EA1-AFA6-860BAAF0EA13}"/>
            </a:ext>
          </a:extLst>
        </xdr:cNvPr>
        <xdr:cNvSpPr txBox="1"/>
      </xdr:nvSpPr>
      <xdr:spPr>
        <a:xfrm>
          <a:off x="14331094" y="5166024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α=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55405</xdr:colOff>
      <xdr:row>18</xdr:row>
      <xdr:rowOff>87197</xdr:rowOff>
    </xdr:from>
    <xdr:to>
      <xdr:col>69</xdr:col>
      <xdr:colOff>9205</xdr:colOff>
      <xdr:row>18</xdr:row>
      <xdr:rowOff>87197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E0481E95-DE01-43EC-BF9B-2C5F540487A9}"/>
            </a:ext>
          </a:extLst>
        </xdr:cNvPr>
        <xdr:cNvCxnSpPr/>
      </xdr:nvCxnSpPr>
      <xdr:spPr>
        <a:xfrm>
          <a:off x="14557218" y="4373447"/>
          <a:ext cx="1334925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69</xdr:col>
      <xdr:colOff>8564</xdr:colOff>
      <xdr:row>18</xdr:row>
      <xdr:rowOff>42875</xdr:rowOff>
    </xdr:from>
    <xdr:to>
      <xdr:col>69</xdr:col>
      <xdr:colOff>8564</xdr:colOff>
      <xdr:row>18</xdr:row>
      <xdr:rowOff>221202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66DE47CE-2708-4F23-A3F0-DDD41428A2C1}"/>
            </a:ext>
          </a:extLst>
        </xdr:cNvPr>
        <xdr:cNvCxnSpPr/>
      </xdr:nvCxnSpPr>
      <xdr:spPr>
        <a:xfrm>
          <a:off x="15891502" y="4329125"/>
          <a:ext cx="0" cy="178327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126414</xdr:colOff>
      <xdr:row>21</xdr:row>
      <xdr:rowOff>63615</xdr:rowOff>
    </xdr:from>
    <xdr:to>
      <xdr:col>64</xdr:col>
      <xdr:colOff>126414</xdr:colOff>
      <xdr:row>23</xdr:row>
      <xdr:rowOff>202333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E4315C22-DBEC-45E1-8893-687F4256E9C0}"/>
            </a:ext>
          </a:extLst>
        </xdr:cNvPr>
        <xdr:cNvCxnSpPr/>
      </xdr:nvCxnSpPr>
      <xdr:spPr>
        <a:xfrm>
          <a:off x="14858414" y="5064240"/>
          <a:ext cx="0" cy="614968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63</xdr:col>
      <xdr:colOff>222497</xdr:colOff>
      <xdr:row>20</xdr:row>
      <xdr:rowOff>109193</xdr:rowOff>
    </xdr:from>
    <xdr:ext cx="374718" cy="224998"/>
    <xdr:sp macro="" textlink="">
      <xdr:nvSpPr>
        <xdr:cNvPr id="46" name="テキスト ボックス 45">
          <a:extLst>
            <a:ext uri="{FF2B5EF4-FFF2-40B4-BE49-F238E27FC236}">
              <a16:creationId xmlns:a16="http://schemas.microsoft.com/office/drawing/2014/main" id="{3D486654-E7AC-4F33-96F4-3DD2F0B3D37F}"/>
            </a:ext>
          </a:extLst>
        </xdr:cNvPr>
        <xdr:cNvSpPr txBox="1"/>
      </xdr:nvSpPr>
      <xdr:spPr>
        <a:xfrm>
          <a:off x="14724310" y="4871693"/>
          <a:ext cx="37471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64</xdr:col>
      <xdr:colOff>32640</xdr:colOff>
      <xdr:row>25</xdr:row>
      <xdr:rowOff>146986</xdr:rowOff>
    </xdr:from>
    <xdr:to>
      <xdr:col>66</xdr:col>
      <xdr:colOff>18106</xdr:colOff>
      <xdr:row>25</xdr:row>
      <xdr:rowOff>146986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49E57097-9CB6-497A-BD51-293914BF02E5}"/>
            </a:ext>
          </a:extLst>
        </xdr:cNvPr>
        <xdr:cNvCxnSpPr/>
      </xdr:nvCxnSpPr>
      <xdr:spPr>
        <a:xfrm rot="2460000">
          <a:off x="14764640" y="6100111"/>
          <a:ext cx="445841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181622</xdr:colOff>
      <xdr:row>24</xdr:row>
      <xdr:rowOff>226568</xdr:rowOff>
    </xdr:from>
    <xdr:to>
      <xdr:col>64</xdr:col>
      <xdr:colOff>181622</xdr:colOff>
      <xdr:row>27</xdr:row>
      <xdr:rowOff>106907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3E7979DF-2B14-48ED-9116-24E2B901F859}"/>
            </a:ext>
          </a:extLst>
        </xdr:cNvPr>
        <xdr:cNvCxnSpPr/>
      </xdr:nvCxnSpPr>
      <xdr:spPr>
        <a:xfrm rot="4260000">
          <a:off x="14616265" y="6238925"/>
          <a:ext cx="594714" cy="0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33883</xdr:colOff>
      <xdr:row>25</xdr:row>
      <xdr:rowOff>22593</xdr:rowOff>
    </xdr:from>
    <xdr:to>
      <xdr:col>65</xdr:col>
      <xdr:colOff>36302</xdr:colOff>
      <xdr:row>26</xdr:row>
      <xdr:rowOff>20631</xdr:rowOff>
    </xdr:to>
    <xdr:sp macro="" textlink="">
      <xdr:nvSpPr>
        <xdr:cNvPr id="52" name="円弧 51">
          <a:extLst>
            <a:ext uri="{FF2B5EF4-FFF2-40B4-BE49-F238E27FC236}">
              <a16:creationId xmlns:a16="http://schemas.microsoft.com/office/drawing/2014/main" id="{1C8AA2BE-CE6C-4D8A-8EC2-0FAE9C4C0742}"/>
            </a:ext>
          </a:extLst>
        </xdr:cNvPr>
        <xdr:cNvSpPr/>
      </xdr:nvSpPr>
      <xdr:spPr>
        <a:xfrm rot="5940764">
          <a:off x="14764105" y="5977496"/>
          <a:ext cx="236163" cy="232607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64</xdr:col>
      <xdr:colOff>162566</xdr:colOff>
      <xdr:row>25</xdr:row>
      <xdr:rowOff>233584</xdr:rowOff>
    </xdr:from>
    <xdr:ext cx="355097" cy="242374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152C8BBA-1EA3-4A23-BE35-333C5E82B01B}"/>
            </a:ext>
          </a:extLst>
        </xdr:cNvPr>
        <xdr:cNvSpPr txBox="1"/>
      </xdr:nvSpPr>
      <xdr:spPr>
        <a:xfrm>
          <a:off x="14894566" y="6186709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φ=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161144</xdr:colOff>
      <xdr:row>25</xdr:row>
      <xdr:rowOff>226088</xdr:rowOff>
    </xdr:from>
    <xdr:to>
      <xdr:col>61</xdr:col>
      <xdr:colOff>127656</xdr:colOff>
      <xdr:row>25</xdr:row>
      <xdr:rowOff>226088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50BEBAC9-8E7C-44AC-92DD-9C8B073DBFD3}"/>
            </a:ext>
          </a:extLst>
        </xdr:cNvPr>
        <xdr:cNvCxnSpPr/>
      </xdr:nvCxnSpPr>
      <xdr:spPr>
        <a:xfrm rot="5160000">
          <a:off x="14070744" y="6080863"/>
          <a:ext cx="0" cy="196700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118923</xdr:colOff>
      <xdr:row>25</xdr:row>
      <xdr:rowOff>141637</xdr:rowOff>
    </xdr:from>
    <xdr:to>
      <xdr:col>61</xdr:col>
      <xdr:colOff>123148</xdr:colOff>
      <xdr:row>25</xdr:row>
      <xdr:rowOff>215440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B99DF5C3-BCC7-4857-AD52-440A78D3EEB4}"/>
            </a:ext>
          </a:extLst>
        </xdr:cNvPr>
        <xdr:cNvCxnSpPr/>
      </xdr:nvCxnSpPr>
      <xdr:spPr>
        <a:xfrm>
          <a:off x="13930173" y="6094762"/>
          <a:ext cx="234413" cy="73803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59</xdr:col>
      <xdr:colOff>183473</xdr:colOff>
      <xdr:row>24</xdr:row>
      <xdr:rowOff>69701</xdr:rowOff>
    </xdr:from>
    <xdr:ext cx="355097" cy="242374"/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FDB9FEAE-3E69-40CC-9662-5EF0A2AA2237}"/>
            </a:ext>
          </a:extLst>
        </xdr:cNvPr>
        <xdr:cNvSpPr txBox="1"/>
      </xdr:nvSpPr>
      <xdr:spPr>
        <a:xfrm>
          <a:off x="13764536" y="5784701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δ=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187970</xdr:colOff>
      <xdr:row>25</xdr:row>
      <xdr:rowOff>111522</xdr:rowOff>
    </xdr:from>
    <xdr:to>
      <xdr:col>61</xdr:col>
      <xdr:colOff>213616</xdr:colOff>
      <xdr:row>26</xdr:row>
      <xdr:rowOff>104099</xdr:rowOff>
    </xdr:to>
    <xdr:sp macro="" textlink="">
      <xdr:nvSpPr>
        <xdr:cNvPr id="58" name="円弧 57">
          <a:extLst>
            <a:ext uri="{FF2B5EF4-FFF2-40B4-BE49-F238E27FC236}">
              <a16:creationId xmlns:a16="http://schemas.microsoft.com/office/drawing/2014/main" id="{6FE7DF69-D577-47B6-8045-D26E58A0083E}"/>
            </a:ext>
          </a:extLst>
        </xdr:cNvPr>
        <xdr:cNvSpPr/>
      </xdr:nvSpPr>
      <xdr:spPr>
        <a:xfrm rot="11882846">
          <a:off x="13999220" y="6064647"/>
          <a:ext cx="255834" cy="230702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60</xdr:col>
      <xdr:colOff>193224</xdr:colOff>
      <xdr:row>25</xdr:row>
      <xdr:rowOff>46332</xdr:rowOff>
    </xdr:from>
    <xdr:to>
      <xdr:col>61</xdr:col>
      <xdr:colOff>199358</xdr:colOff>
      <xdr:row>26</xdr:row>
      <xdr:rowOff>51470</xdr:rowOff>
    </xdr:to>
    <xdr:sp macro="" textlink="">
      <xdr:nvSpPr>
        <xdr:cNvPr id="59" name="円弧 58">
          <a:extLst>
            <a:ext uri="{FF2B5EF4-FFF2-40B4-BE49-F238E27FC236}">
              <a16:creationId xmlns:a16="http://schemas.microsoft.com/office/drawing/2014/main" id="{6FEDF392-415F-464F-A9D4-9893D2B943DA}"/>
            </a:ext>
          </a:extLst>
        </xdr:cNvPr>
        <xdr:cNvSpPr/>
      </xdr:nvSpPr>
      <xdr:spPr>
        <a:xfrm rot="16419954">
          <a:off x="14001003" y="6002928"/>
          <a:ext cx="243263" cy="236322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59</xdr:col>
      <xdr:colOff>137638</xdr:colOff>
      <xdr:row>25</xdr:row>
      <xdr:rowOff>148096</xdr:rowOff>
    </xdr:from>
    <xdr:ext cx="302199" cy="224998"/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F3C30D14-4DFB-414C-AA3D-8F3C314A1BC0}"/>
            </a:ext>
          </a:extLst>
        </xdr:cNvPr>
        <xdr:cNvSpPr txBox="1"/>
      </xdr:nvSpPr>
      <xdr:spPr>
        <a:xfrm>
          <a:off x="13625038" y="5863096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64</xdr:col>
      <xdr:colOff>129236</xdr:colOff>
      <xdr:row>24</xdr:row>
      <xdr:rowOff>202391</xdr:rowOff>
    </xdr:from>
    <xdr:to>
      <xdr:col>64</xdr:col>
      <xdr:colOff>185915</xdr:colOff>
      <xdr:row>25</xdr:row>
      <xdr:rowOff>2812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48E7FDB4-8E89-44E8-AC91-30D08920734B}"/>
            </a:ext>
          </a:extLst>
        </xdr:cNvPr>
        <xdr:cNvCxnSpPr/>
      </xdr:nvCxnSpPr>
      <xdr:spPr>
        <a:xfrm>
          <a:off x="14861236" y="5917391"/>
          <a:ext cx="56679" cy="38546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143255</xdr:colOff>
      <xdr:row>25</xdr:row>
      <xdr:rowOff>5916</xdr:rowOff>
    </xdr:from>
    <xdr:to>
      <xdr:col>64</xdr:col>
      <xdr:colOff>175654</xdr:colOff>
      <xdr:row>25</xdr:row>
      <xdr:rowOff>41836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78D17465-876A-4619-BB39-5638BBF8B44C}"/>
            </a:ext>
          </a:extLst>
        </xdr:cNvPr>
        <xdr:cNvCxnSpPr/>
      </xdr:nvCxnSpPr>
      <xdr:spPr>
        <a:xfrm flipH="1">
          <a:off x="14875255" y="5959041"/>
          <a:ext cx="32399" cy="35920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76962</xdr:colOff>
      <xdr:row>25</xdr:row>
      <xdr:rowOff>124372</xdr:rowOff>
    </xdr:from>
    <xdr:to>
      <xdr:col>61</xdr:col>
      <xdr:colOff>141103</xdr:colOff>
      <xdr:row>25</xdr:row>
      <xdr:rowOff>145505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D6D3F8F3-D7D9-4275-8A45-00B2A7A0D4F2}"/>
            </a:ext>
          </a:extLst>
        </xdr:cNvPr>
        <xdr:cNvCxnSpPr/>
      </xdr:nvCxnSpPr>
      <xdr:spPr>
        <a:xfrm>
          <a:off x="14118400" y="6077497"/>
          <a:ext cx="64141" cy="21133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60037</xdr:colOff>
      <xdr:row>25</xdr:row>
      <xdr:rowOff>124449</xdr:rowOff>
    </xdr:from>
    <xdr:to>
      <xdr:col>61</xdr:col>
      <xdr:colOff>77434</xdr:colOff>
      <xdr:row>25</xdr:row>
      <xdr:rowOff>180437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CB93DE2-442E-4901-8D22-D595C14425BE}"/>
            </a:ext>
          </a:extLst>
        </xdr:cNvPr>
        <xdr:cNvCxnSpPr/>
      </xdr:nvCxnSpPr>
      <xdr:spPr>
        <a:xfrm flipH="1">
          <a:off x="14101475" y="6077574"/>
          <a:ext cx="17397" cy="55988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72884</xdr:colOff>
      <xdr:row>19</xdr:row>
      <xdr:rowOff>40520</xdr:rowOff>
    </xdr:from>
    <xdr:to>
      <xdr:col>63</xdr:col>
      <xdr:colOff>74280</xdr:colOff>
      <xdr:row>19</xdr:row>
      <xdr:rowOff>201762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F174A718-3273-4AC3-93D5-85382850544D}"/>
            </a:ext>
          </a:extLst>
        </xdr:cNvPr>
        <xdr:cNvCxnSpPr/>
      </xdr:nvCxnSpPr>
      <xdr:spPr>
        <a:xfrm flipH="1">
          <a:off x="14574697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182534</xdr:colOff>
      <xdr:row>19</xdr:row>
      <xdr:rowOff>40520</xdr:rowOff>
    </xdr:from>
    <xdr:to>
      <xdr:col>63</xdr:col>
      <xdr:colOff>183930</xdr:colOff>
      <xdr:row>19</xdr:row>
      <xdr:rowOff>201762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DA225EA2-39AE-4A1A-99E5-18882ED64AF9}"/>
            </a:ext>
          </a:extLst>
        </xdr:cNvPr>
        <xdr:cNvCxnSpPr/>
      </xdr:nvCxnSpPr>
      <xdr:spPr>
        <a:xfrm flipH="1">
          <a:off x="14684347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53384</xdr:colOff>
      <xdr:row>19</xdr:row>
      <xdr:rowOff>40520</xdr:rowOff>
    </xdr:from>
    <xdr:to>
      <xdr:col>64</xdr:col>
      <xdr:colOff>54780</xdr:colOff>
      <xdr:row>19</xdr:row>
      <xdr:rowOff>201762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A031AFB0-D797-4C48-A99F-6DFD30D32DFD}"/>
            </a:ext>
          </a:extLst>
        </xdr:cNvPr>
        <xdr:cNvCxnSpPr/>
      </xdr:nvCxnSpPr>
      <xdr:spPr>
        <a:xfrm flipH="1">
          <a:off x="14785384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165884</xdr:colOff>
      <xdr:row>19</xdr:row>
      <xdr:rowOff>40520</xdr:rowOff>
    </xdr:from>
    <xdr:to>
      <xdr:col>64</xdr:col>
      <xdr:colOff>167280</xdr:colOff>
      <xdr:row>19</xdr:row>
      <xdr:rowOff>201762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82B04B71-2414-4E5C-B255-FB7005DE0CEC}"/>
            </a:ext>
          </a:extLst>
        </xdr:cNvPr>
        <xdr:cNvCxnSpPr/>
      </xdr:nvCxnSpPr>
      <xdr:spPr>
        <a:xfrm flipH="1">
          <a:off x="14897884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44128</xdr:colOff>
      <xdr:row>19</xdr:row>
      <xdr:rowOff>40520</xdr:rowOff>
    </xdr:from>
    <xdr:to>
      <xdr:col>65</xdr:col>
      <xdr:colOff>45524</xdr:colOff>
      <xdr:row>19</xdr:row>
      <xdr:rowOff>201762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5F21954E-DA87-4BB1-B7A0-665B1026DDF0}"/>
            </a:ext>
          </a:extLst>
        </xdr:cNvPr>
        <xdr:cNvCxnSpPr/>
      </xdr:nvCxnSpPr>
      <xdr:spPr>
        <a:xfrm flipH="1">
          <a:off x="15006316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139456</xdr:colOff>
      <xdr:row>19</xdr:row>
      <xdr:rowOff>40520</xdr:rowOff>
    </xdr:from>
    <xdr:to>
      <xdr:col>65</xdr:col>
      <xdr:colOff>140852</xdr:colOff>
      <xdr:row>19</xdr:row>
      <xdr:rowOff>201762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F60CC838-830C-4443-9488-0D6121166930}"/>
            </a:ext>
          </a:extLst>
        </xdr:cNvPr>
        <xdr:cNvCxnSpPr/>
      </xdr:nvCxnSpPr>
      <xdr:spPr>
        <a:xfrm flipH="1">
          <a:off x="15101644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66</xdr:col>
      <xdr:colOff>12774</xdr:colOff>
      <xdr:row>19</xdr:row>
      <xdr:rowOff>40520</xdr:rowOff>
    </xdr:from>
    <xdr:to>
      <xdr:col>66</xdr:col>
      <xdr:colOff>14170</xdr:colOff>
      <xdr:row>19</xdr:row>
      <xdr:rowOff>201762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202FA866-BF21-4B5D-B617-F030036D10D8}"/>
            </a:ext>
          </a:extLst>
        </xdr:cNvPr>
        <xdr:cNvCxnSpPr/>
      </xdr:nvCxnSpPr>
      <xdr:spPr>
        <a:xfrm flipH="1">
          <a:off x="15205149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66</xdr:col>
      <xdr:colOff>121180</xdr:colOff>
      <xdr:row>19</xdr:row>
      <xdr:rowOff>40520</xdr:rowOff>
    </xdr:from>
    <xdr:to>
      <xdr:col>66</xdr:col>
      <xdr:colOff>122576</xdr:colOff>
      <xdr:row>19</xdr:row>
      <xdr:rowOff>201762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1F18B6E4-4EE1-418B-8651-58C0931F8C47}"/>
            </a:ext>
          </a:extLst>
        </xdr:cNvPr>
        <xdr:cNvCxnSpPr/>
      </xdr:nvCxnSpPr>
      <xdr:spPr>
        <a:xfrm flipH="1">
          <a:off x="15313555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66</xdr:col>
      <xdr:colOff>222024</xdr:colOff>
      <xdr:row>19</xdr:row>
      <xdr:rowOff>40520</xdr:rowOff>
    </xdr:from>
    <xdr:to>
      <xdr:col>66</xdr:col>
      <xdr:colOff>223420</xdr:colOff>
      <xdr:row>19</xdr:row>
      <xdr:rowOff>201762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9536FBE7-BC87-40AC-AD3F-C6CEE63E0F60}"/>
            </a:ext>
          </a:extLst>
        </xdr:cNvPr>
        <xdr:cNvCxnSpPr/>
      </xdr:nvCxnSpPr>
      <xdr:spPr>
        <a:xfrm flipH="1">
          <a:off x="15414399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67</xdr:col>
      <xdr:colOff>102768</xdr:colOff>
      <xdr:row>19</xdr:row>
      <xdr:rowOff>40520</xdr:rowOff>
    </xdr:from>
    <xdr:to>
      <xdr:col>67</xdr:col>
      <xdr:colOff>104164</xdr:colOff>
      <xdr:row>19</xdr:row>
      <xdr:rowOff>201762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DCA7F3-8EAB-48E5-997E-B521AB9A14C0}"/>
            </a:ext>
          </a:extLst>
        </xdr:cNvPr>
        <xdr:cNvCxnSpPr/>
      </xdr:nvCxnSpPr>
      <xdr:spPr>
        <a:xfrm flipH="1">
          <a:off x="15525331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67</xdr:col>
      <xdr:colOff>227055</xdr:colOff>
      <xdr:row>19</xdr:row>
      <xdr:rowOff>40520</xdr:rowOff>
    </xdr:from>
    <xdr:to>
      <xdr:col>68</xdr:col>
      <xdr:colOff>841</xdr:colOff>
      <xdr:row>19</xdr:row>
      <xdr:rowOff>201762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D76EDBE1-0BB2-40EF-BCD1-C1976B94818A}"/>
            </a:ext>
          </a:extLst>
        </xdr:cNvPr>
        <xdr:cNvCxnSpPr/>
      </xdr:nvCxnSpPr>
      <xdr:spPr>
        <a:xfrm flipH="1">
          <a:off x="15649618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68</xdr:col>
      <xdr:colOff>110620</xdr:colOff>
      <xdr:row>19</xdr:row>
      <xdr:rowOff>40520</xdr:rowOff>
    </xdr:from>
    <xdr:to>
      <xdr:col>68</xdr:col>
      <xdr:colOff>112016</xdr:colOff>
      <xdr:row>19</xdr:row>
      <xdr:rowOff>201762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91FCD15F-7F66-4BAD-9F24-3775AD006990}"/>
            </a:ext>
          </a:extLst>
        </xdr:cNvPr>
        <xdr:cNvCxnSpPr/>
      </xdr:nvCxnSpPr>
      <xdr:spPr>
        <a:xfrm flipH="1">
          <a:off x="15763370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68</xdr:col>
      <xdr:colOff>227057</xdr:colOff>
      <xdr:row>19</xdr:row>
      <xdr:rowOff>40520</xdr:rowOff>
    </xdr:from>
    <xdr:to>
      <xdr:col>69</xdr:col>
      <xdr:colOff>842</xdr:colOff>
      <xdr:row>19</xdr:row>
      <xdr:rowOff>201762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AD8DBA63-C0F0-4237-9B5B-94DE1F9303CA}"/>
            </a:ext>
          </a:extLst>
        </xdr:cNvPr>
        <xdr:cNvCxnSpPr/>
      </xdr:nvCxnSpPr>
      <xdr:spPr>
        <a:xfrm flipH="1">
          <a:off x="15879807" y="4564895"/>
          <a:ext cx="1396" cy="161242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55</xdr:col>
      <xdr:colOff>229007</xdr:colOff>
      <xdr:row>22</xdr:row>
      <xdr:rowOff>228402</xdr:rowOff>
    </xdr:from>
    <xdr:ext cx="224998" cy="444352"/>
    <xdr:sp macro="" textlink="$AF$3">
      <xdr:nvSpPr>
        <xdr:cNvPr id="81" name="テキスト ボックス 80">
          <a:extLst>
            <a:ext uri="{FF2B5EF4-FFF2-40B4-BE49-F238E27FC236}">
              <a16:creationId xmlns:a16="http://schemas.microsoft.com/office/drawing/2014/main" id="{9B2F6BCB-3E46-4BDB-B333-6AE813639600}"/>
            </a:ext>
          </a:extLst>
        </xdr:cNvPr>
        <xdr:cNvSpPr txBox="1"/>
      </xdr:nvSpPr>
      <xdr:spPr>
        <a:xfrm rot="16200000">
          <a:off x="12779643" y="55768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39CD967-049C-4A91-903B-5C79BD75187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62</xdr:col>
      <xdr:colOff>47477</xdr:colOff>
      <xdr:row>17</xdr:row>
      <xdr:rowOff>71746</xdr:rowOff>
    </xdr:from>
    <xdr:ext cx="444352" cy="224998"/>
    <xdr:sp macro="" textlink="$AF$4">
      <xdr:nvSpPr>
        <xdr:cNvPr id="82" name="テキスト ボックス 81">
          <a:extLst>
            <a:ext uri="{FF2B5EF4-FFF2-40B4-BE49-F238E27FC236}">
              <a16:creationId xmlns:a16="http://schemas.microsoft.com/office/drawing/2014/main" id="{7FCA63CC-6D5B-41FA-B8DD-FABFB4B2C912}"/>
            </a:ext>
          </a:extLst>
        </xdr:cNvPr>
        <xdr:cNvSpPr txBox="1"/>
      </xdr:nvSpPr>
      <xdr:spPr>
        <a:xfrm>
          <a:off x="14319102" y="411987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CBAA683-5411-4221-B397-94521DA35B85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58</xdr:col>
      <xdr:colOff>171779</xdr:colOff>
      <xdr:row>30</xdr:row>
      <xdr:rowOff>229761</xdr:rowOff>
    </xdr:from>
    <xdr:ext cx="444352" cy="224998"/>
    <xdr:sp macro="" textlink="$AF$5">
      <xdr:nvSpPr>
        <xdr:cNvPr id="84" name="テキスト ボックス 83">
          <a:extLst>
            <a:ext uri="{FF2B5EF4-FFF2-40B4-BE49-F238E27FC236}">
              <a16:creationId xmlns:a16="http://schemas.microsoft.com/office/drawing/2014/main" id="{42FE7147-6D93-4D1B-9DA6-508500F77707}"/>
            </a:ext>
          </a:extLst>
        </xdr:cNvPr>
        <xdr:cNvSpPr txBox="1"/>
      </xdr:nvSpPr>
      <xdr:spPr>
        <a:xfrm>
          <a:off x="13522654" y="737351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524262D-6895-411D-A697-1FAABA92A8A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61</xdr:col>
      <xdr:colOff>108044</xdr:colOff>
      <xdr:row>19</xdr:row>
      <xdr:rowOff>220607</xdr:rowOff>
    </xdr:from>
    <xdr:to>
      <xdr:col>63</xdr:col>
      <xdr:colOff>52046</xdr:colOff>
      <xdr:row>19</xdr:row>
      <xdr:rowOff>220607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E68EBC62-94DB-4FB0-8658-50AEE6548123}"/>
            </a:ext>
          </a:extLst>
        </xdr:cNvPr>
        <xdr:cNvCxnSpPr/>
      </xdr:nvCxnSpPr>
      <xdr:spPr>
        <a:xfrm>
          <a:off x="14149482" y="4744982"/>
          <a:ext cx="40437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55</xdr:col>
      <xdr:colOff>176278</xdr:colOff>
      <xdr:row>19</xdr:row>
      <xdr:rowOff>219970</xdr:rowOff>
    </xdr:from>
    <xdr:to>
      <xdr:col>60</xdr:col>
      <xdr:colOff>130501</xdr:colOff>
      <xdr:row>19</xdr:row>
      <xdr:rowOff>219970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BF370E30-7041-46CB-B029-C5DA011544C8}"/>
            </a:ext>
          </a:extLst>
        </xdr:cNvPr>
        <xdr:cNvCxnSpPr/>
      </xdr:nvCxnSpPr>
      <xdr:spPr>
        <a:xfrm>
          <a:off x="12836591" y="4744345"/>
          <a:ext cx="110516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55</xdr:col>
      <xdr:colOff>225142</xdr:colOff>
      <xdr:row>29</xdr:row>
      <xdr:rowOff>76972</xdr:rowOff>
    </xdr:from>
    <xdr:to>
      <xdr:col>58</xdr:col>
      <xdr:colOff>57150</xdr:colOff>
      <xdr:row>29</xdr:row>
      <xdr:rowOff>76972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5C1C0E8-AD6C-4703-BF47-4C11C9011B7F}"/>
            </a:ext>
          </a:extLst>
        </xdr:cNvPr>
        <xdr:cNvCxnSpPr/>
      </xdr:nvCxnSpPr>
      <xdr:spPr>
        <a:xfrm>
          <a:off x="12798142" y="6706372"/>
          <a:ext cx="517808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156061</xdr:colOff>
      <xdr:row>30</xdr:row>
      <xdr:rowOff>216473</xdr:rowOff>
    </xdr:from>
    <xdr:to>
      <xdr:col>60</xdr:col>
      <xdr:colOff>172064</xdr:colOff>
      <xdr:row>30</xdr:row>
      <xdr:rowOff>216473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F5C5E61C-D0A9-4BB2-90A2-A28270A2959C}"/>
            </a:ext>
          </a:extLst>
        </xdr:cNvPr>
        <xdr:cNvCxnSpPr/>
      </xdr:nvCxnSpPr>
      <xdr:spPr>
        <a:xfrm>
          <a:off x="13506936" y="7360223"/>
          <a:ext cx="47637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153659</xdr:colOff>
      <xdr:row>29</xdr:row>
      <xdr:rowOff>115094</xdr:rowOff>
    </xdr:from>
    <xdr:to>
      <xdr:col>58</xdr:col>
      <xdr:colOff>153659</xdr:colOff>
      <xdr:row>31</xdr:row>
      <xdr:rowOff>27787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20B18CA1-1C66-4C02-9D59-2DF0044A90BC}"/>
            </a:ext>
          </a:extLst>
        </xdr:cNvPr>
        <xdr:cNvCxnSpPr/>
      </xdr:nvCxnSpPr>
      <xdr:spPr>
        <a:xfrm>
          <a:off x="13504534" y="7020719"/>
          <a:ext cx="0" cy="38894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134711</xdr:colOff>
      <xdr:row>19</xdr:row>
      <xdr:rowOff>221866</xdr:rowOff>
    </xdr:from>
    <xdr:to>
      <xdr:col>63</xdr:col>
      <xdr:colOff>51523</xdr:colOff>
      <xdr:row>28</xdr:row>
      <xdr:rowOff>205112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B0AB29F6-A814-4943-AA1E-5120AFCC3499}"/>
            </a:ext>
          </a:extLst>
        </xdr:cNvPr>
        <xdr:cNvCxnSpPr/>
      </xdr:nvCxnSpPr>
      <xdr:spPr>
        <a:xfrm flipH="1">
          <a:off x="13945961" y="4746241"/>
          <a:ext cx="607375" cy="212637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169096</xdr:colOff>
      <xdr:row>30</xdr:row>
      <xdr:rowOff>99585</xdr:rowOff>
    </xdr:from>
    <xdr:to>
      <xdr:col>60</xdr:col>
      <xdr:colOff>169096</xdr:colOff>
      <xdr:row>31</xdr:row>
      <xdr:rowOff>51924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43B23E25-FE44-4E65-B9DF-5011967667B6}"/>
            </a:ext>
          </a:extLst>
        </xdr:cNvPr>
        <xdr:cNvCxnSpPr/>
      </xdr:nvCxnSpPr>
      <xdr:spPr>
        <a:xfrm>
          <a:off x="13980346" y="7243335"/>
          <a:ext cx="0" cy="19046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193402</xdr:colOff>
      <xdr:row>19</xdr:row>
      <xdr:rowOff>217103</xdr:rowOff>
    </xdr:from>
    <xdr:to>
      <xdr:col>61</xdr:col>
      <xdr:colOff>107277</xdr:colOff>
      <xdr:row>28</xdr:row>
      <xdr:rowOff>204703</xdr:rowOff>
    </xdr:to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24B75047-CBF1-4F04-8DCB-5075CE5CC47A}"/>
            </a:ext>
          </a:extLst>
        </xdr:cNvPr>
        <xdr:cNvCxnSpPr/>
      </xdr:nvCxnSpPr>
      <xdr:spPr>
        <a:xfrm flipH="1">
          <a:off x="13544277" y="4741478"/>
          <a:ext cx="604438" cy="213072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147068</xdr:colOff>
      <xdr:row>28</xdr:row>
      <xdr:rowOff>209057</xdr:rowOff>
    </xdr:from>
    <xdr:to>
      <xdr:col>60</xdr:col>
      <xdr:colOff>163071</xdr:colOff>
      <xdr:row>29</xdr:row>
      <xdr:rowOff>72128</xdr:rowOff>
    </xdr:to>
    <xdr:sp macro="" textlink="">
      <xdr:nvSpPr>
        <xdr:cNvPr id="93" name="正方形/長方形 92">
          <a:extLst>
            <a:ext uri="{FF2B5EF4-FFF2-40B4-BE49-F238E27FC236}">
              <a16:creationId xmlns:a16="http://schemas.microsoft.com/office/drawing/2014/main" id="{65D34B46-DDE6-4C32-9D4E-DF1DABE4B77A}"/>
            </a:ext>
          </a:extLst>
        </xdr:cNvPr>
        <xdr:cNvSpPr/>
      </xdr:nvSpPr>
      <xdr:spPr>
        <a:xfrm>
          <a:off x="13497943" y="6876557"/>
          <a:ext cx="476378" cy="101196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56</xdr:col>
      <xdr:colOff>47931</xdr:colOff>
      <xdr:row>19</xdr:row>
      <xdr:rowOff>220796</xdr:rowOff>
    </xdr:from>
    <xdr:to>
      <xdr:col>56</xdr:col>
      <xdr:colOff>47931</xdr:colOff>
      <xdr:row>29</xdr:row>
      <xdr:rowOff>80538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29B226CC-55C4-4466-947F-BFC038469FEC}"/>
            </a:ext>
          </a:extLst>
        </xdr:cNvPr>
        <xdr:cNvCxnSpPr/>
      </xdr:nvCxnSpPr>
      <xdr:spPr>
        <a:xfrm>
          <a:off x="12938431" y="4745171"/>
          <a:ext cx="0" cy="224099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43997</xdr:colOff>
      <xdr:row>20</xdr:row>
      <xdr:rowOff>89627</xdr:rowOff>
    </xdr:from>
    <xdr:to>
      <xdr:col>62</xdr:col>
      <xdr:colOff>150557</xdr:colOff>
      <xdr:row>28</xdr:row>
      <xdr:rowOff>195587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0958E480-5E7A-458F-AF32-390CA9698C9B}"/>
            </a:ext>
          </a:extLst>
        </xdr:cNvPr>
        <xdr:cNvCxnSpPr/>
      </xdr:nvCxnSpPr>
      <xdr:spPr>
        <a:xfrm flipH="1">
          <a:off x="13855247" y="4852127"/>
          <a:ext cx="566935" cy="201096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68005</xdr:colOff>
      <xdr:row>27</xdr:row>
      <xdr:rowOff>69032</xdr:rowOff>
    </xdr:from>
    <xdr:to>
      <xdr:col>60</xdr:col>
      <xdr:colOff>147918</xdr:colOff>
      <xdr:row>27</xdr:row>
      <xdr:rowOff>69032</xdr:rowOff>
    </xdr:to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A5B3FF42-5D82-4800-A456-B81596256802}"/>
            </a:ext>
          </a:extLst>
        </xdr:cNvPr>
        <xdr:cNvCxnSpPr/>
      </xdr:nvCxnSpPr>
      <xdr:spPr>
        <a:xfrm>
          <a:off x="13649068" y="6498407"/>
          <a:ext cx="3101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168154</xdr:colOff>
      <xdr:row>25</xdr:row>
      <xdr:rowOff>202342</xdr:rowOff>
    </xdr:from>
    <xdr:to>
      <xdr:col>61</xdr:col>
      <xdr:colOff>23201</xdr:colOff>
      <xdr:row>25</xdr:row>
      <xdr:rowOff>202342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1195F69C-7B5E-45B1-B548-B57036FE2DEA}"/>
            </a:ext>
          </a:extLst>
        </xdr:cNvPr>
        <xdr:cNvCxnSpPr/>
      </xdr:nvCxnSpPr>
      <xdr:spPr>
        <a:xfrm>
          <a:off x="13749217" y="6155467"/>
          <a:ext cx="31542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39085</xdr:colOff>
      <xdr:row>24</xdr:row>
      <xdr:rowOff>69457</xdr:rowOff>
    </xdr:from>
    <xdr:to>
      <xdr:col>61</xdr:col>
      <xdr:colOff>117862</xdr:colOff>
      <xdr:row>24</xdr:row>
      <xdr:rowOff>69457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58B87F50-0537-4596-A686-EB02D38D06A3}"/>
            </a:ext>
          </a:extLst>
        </xdr:cNvPr>
        <xdr:cNvCxnSpPr/>
      </xdr:nvCxnSpPr>
      <xdr:spPr>
        <a:xfrm>
          <a:off x="13850335" y="5784457"/>
          <a:ext cx="30896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142453</xdr:colOff>
      <xdr:row>22</xdr:row>
      <xdr:rowOff>188740</xdr:rowOff>
    </xdr:from>
    <xdr:to>
      <xdr:col>62</xdr:col>
      <xdr:colOff>11</xdr:colOff>
      <xdr:row>22</xdr:row>
      <xdr:rowOff>188740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32CE571D-F00F-466A-A6A8-E2949F294324}"/>
            </a:ext>
          </a:extLst>
        </xdr:cNvPr>
        <xdr:cNvCxnSpPr/>
      </xdr:nvCxnSpPr>
      <xdr:spPr>
        <a:xfrm>
          <a:off x="13953703" y="5427490"/>
          <a:ext cx="31428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26444</xdr:colOff>
      <xdr:row>21</xdr:row>
      <xdr:rowOff>61171</xdr:rowOff>
    </xdr:from>
    <xdr:to>
      <xdr:col>62</xdr:col>
      <xdr:colOff>105223</xdr:colOff>
      <xdr:row>21</xdr:row>
      <xdr:rowOff>61171</xdr:rowOff>
    </xdr:to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E35F4041-0F0D-4DBD-BC30-86DCA85CF8B8}"/>
            </a:ext>
          </a:extLst>
        </xdr:cNvPr>
        <xdr:cNvCxnSpPr/>
      </xdr:nvCxnSpPr>
      <xdr:spPr>
        <a:xfrm>
          <a:off x="14067882" y="5061796"/>
          <a:ext cx="30896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64091</xdr:colOff>
      <xdr:row>20</xdr:row>
      <xdr:rowOff>93653</xdr:rowOff>
    </xdr:from>
    <xdr:to>
      <xdr:col>63</xdr:col>
      <xdr:colOff>25682</xdr:colOff>
      <xdr:row>20</xdr:row>
      <xdr:rowOff>93653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1A4C7276-DC8F-4949-8900-DE58D5BBB175}"/>
            </a:ext>
          </a:extLst>
        </xdr:cNvPr>
        <xdr:cNvCxnSpPr/>
      </xdr:nvCxnSpPr>
      <xdr:spPr>
        <a:xfrm>
          <a:off x="14105529" y="4856153"/>
          <a:ext cx="42196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113246</xdr:colOff>
      <xdr:row>18</xdr:row>
      <xdr:rowOff>87152</xdr:rowOff>
    </xdr:from>
    <xdr:to>
      <xdr:col>63</xdr:col>
      <xdr:colOff>61603</xdr:colOff>
      <xdr:row>18</xdr:row>
      <xdr:rowOff>87152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2ED4B550-C2CF-4192-B341-0F44F5BFCB41}"/>
            </a:ext>
          </a:extLst>
        </xdr:cNvPr>
        <xdr:cNvCxnSpPr/>
      </xdr:nvCxnSpPr>
      <xdr:spPr>
        <a:xfrm>
          <a:off x="14154684" y="4373402"/>
          <a:ext cx="408732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110844</xdr:colOff>
      <xdr:row>18</xdr:row>
      <xdr:rowOff>66308</xdr:rowOff>
    </xdr:from>
    <xdr:to>
      <xdr:col>61</xdr:col>
      <xdr:colOff>110844</xdr:colOff>
      <xdr:row>19</xdr:row>
      <xdr:rowOff>28999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03384C10-2888-4BC5-A85E-942ADFA6AA69}"/>
            </a:ext>
          </a:extLst>
        </xdr:cNvPr>
        <xdr:cNvCxnSpPr/>
      </xdr:nvCxnSpPr>
      <xdr:spPr>
        <a:xfrm>
          <a:off x="14152282" y="4352558"/>
          <a:ext cx="0" cy="200816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64</xdr:col>
      <xdr:colOff>185282</xdr:colOff>
      <xdr:row>19</xdr:row>
      <xdr:rowOff>185735</xdr:rowOff>
    </xdr:from>
    <xdr:ext cx="224998" cy="213520"/>
    <xdr:sp macro="" textlink="$T$10">
      <xdr:nvSpPr>
        <xdr:cNvPr id="104" name="テキスト ボックス 103">
          <a:extLst>
            <a:ext uri="{FF2B5EF4-FFF2-40B4-BE49-F238E27FC236}">
              <a16:creationId xmlns:a16="http://schemas.microsoft.com/office/drawing/2014/main" id="{BF25F454-6065-4BA5-A0E1-45B402A40811}"/>
            </a:ext>
          </a:extLst>
        </xdr:cNvPr>
        <xdr:cNvSpPr txBox="1"/>
      </xdr:nvSpPr>
      <xdr:spPr>
        <a:xfrm rot="16200000">
          <a:off x="14923021" y="4704371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98073</xdr:colOff>
      <xdr:row>28</xdr:row>
      <xdr:rowOff>204333</xdr:rowOff>
    </xdr:from>
    <xdr:to>
      <xdr:col>60</xdr:col>
      <xdr:colOff>129084</xdr:colOff>
      <xdr:row>29</xdr:row>
      <xdr:rowOff>69459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360416B8-09A3-4E5B-94C8-704C651D1E08}"/>
            </a:ext>
          </a:extLst>
        </xdr:cNvPr>
        <xdr:cNvCxnSpPr/>
      </xdr:nvCxnSpPr>
      <xdr:spPr>
        <a:xfrm flipH="1">
          <a:off x="13909323" y="6871833"/>
          <a:ext cx="31011" cy="103251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61</xdr:col>
      <xdr:colOff>146754</xdr:colOff>
      <xdr:row>23</xdr:row>
      <xdr:rowOff>115428</xdr:rowOff>
    </xdr:from>
    <xdr:ext cx="285527" cy="35779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92664F2-317E-4627-87F2-4CE174F081F4}"/>
            </a:ext>
          </a:extLst>
        </xdr:cNvPr>
        <xdr:cNvSpPr txBox="1"/>
      </xdr:nvSpPr>
      <xdr:spPr>
        <a:xfrm rot="17160000">
          <a:off x="13929596" y="5361991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：</a:t>
          </a:r>
        </a:p>
      </xdr:txBody>
    </xdr:sp>
    <xdr:clientData/>
  </xdr:oneCellAnchor>
  <xdr:oneCellAnchor>
    <xdr:from>
      <xdr:col>62</xdr:col>
      <xdr:colOff>200</xdr:colOff>
      <xdr:row>22</xdr:row>
      <xdr:rowOff>220372</xdr:rowOff>
    </xdr:from>
    <xdr:ext cx="224998" cy="328936"/>
    <xdr:sp macro="" textlink="$AF$8">
      <xdr:nvSpPr>
        <xdr:cNvPr id="78" name="テキスト ボックス 77">
          <a:extLst>
            <a:ext uri="{FF2B5EF4-FFF2-40B4-BE49-F238E27FC236}">
              <a16:creationId xmlns:a16="http://schemas.microsoft.com/office/drawing/2014/main" id="{80B08DE3-157A-3CB7-8623-97A5BB6615DB}"/>
            </a:ext>
          </a:extLst>
        </xdr:cNvPr>
        <xdr:cNvSpPr txBox="1"/>
      </xdr:nvSpPr>
      <xdr:spPr>
        <a:xfrm rot="17160000">
          <a:off x="13993745" y="5256233"/>
          <a:ext cx="32893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4D3AC5E-1C94-4B9A-9B96-1DC5F6FB9B2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0.4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57</xdr:col>
      <xdr:colOff>209550</xdr:colOff>
      <xdr:row>28</xdr:row>
      <xdr:rowOff>210727</xdr:rowOff>
    </xdr:from>
    <xdr:to>
      <xdr:col>58</xdr:col>
      <xdr:colOff>60030</xdr:colOff>
      <xdr:row>28</xdr:row>
      <xdr:rowOff>210727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0E008F74-8432-B6DB-B6F3-7D501DFE3069}"/>
            </a:ext>
          </a:extLst>
        </xdr:cNvPr>
        <xdr:cNvCxnSpPr/>
      </xdr:nvCxnSpPr>
      <xdr:spPr>
        <a:xfrm>
          <a:off x="13239750" y="6611527"/>
          <a:ext cx="79080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13358</xdr:colOff>
      <xdr:row>28</xdr:row>
      <xdr:rowOff>207645</xdr:rowOff>
    </xdr:from>
    <xdr:to>
      <xdr:col>58</xdr:col>
      <xdr:colOff>13358</xdr:colOff>
      <xdr:row>29</xdr:row>
      <xdr:rowOff>84592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54AA66CC-7E7A-B5D7-E186-DF7E33310DEC}"/>
            </a:ext>
          </a:extLst>
        </xdr:cNvPr>
        <xdr:cNvCxnSpPr/>
      </xdr:nvCxnSpPr>
      <xdr:spPr>
        <a:xfrm>
          <a:off x="13272158" y="6608445"/>
          <a:ext cx="0" cy="105547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57</xdr:col>
      <xdr:colOff>20150</xdr:colOff>
      <xdr:row>27</xdr:row>
      <xdr:rowOff>191048</xdr:rowOff>
    </xdr:from>
    <xdr:ext cx="224998" cy="412164"/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7E664F79-FD10-A8FB-9CDA-7D7FEC75E686}"/>
            </a:ext>
          </a:extLst>
        </xdr:cNvPr>
        <xdr:cNvSpPr txBox="1"/>
      </xdr:nvSpPr>
      <xdr:spPr>
        <a:xfrm rot="16200000">
          <a:off x="12956767" y="6456831"/>
          <a:ext cx="4121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ja-JP" altLang="en-US" sz="9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57</xdr:col>
      <xdr:colOff>20611</xdr:colOff>
      <xdr:row>26</xdr:row>
      <xdr:rowOff>135475</xdr:rowOff>
    </xdr:from>
    <xdr:ext cx="224998" cy="444352"/>
    <xdr:sp macro="" textlink="$AT$34">
      <xdr:nvSpPr>
        <xdr:cNvPr id="113" name="テキスト ボックス 112">
          <a:extLst>
            <a:ext uri="{FF2B5EF4-FFF2-40B4-BE49-F238E27FC236}">
              <a16:creationId xmlns:a16="http://schemas.microsoft.com/office/drawing/2014/main" id="{2DE23CA4-5DCD-25C7-C57E-674EBFF933C9}"/>
            </a:ext>
          </a:extLst>
        </xdr:cNvPr>
        <xdr:cNvSpPr txBox="1"/>
      </xdr:nvSpPr>
      <xdr:spPr>
        <a:xfrm rot="16200000">
          <a:off x="12891210" y="61659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73919FA-245C-479D-BACA-278297B503F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0.300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169096</xdr:colOff>
      <xdr:row>28</xdr:row>
      <xdr:rowOff>53474</xdr:rowOff>
    </xdr:from>
    <xdr:to>
      <xdr:col>60</xdr:col>
      <xdr:colOff>169096</xdr:colOff>
      <xdr:row>28</xdr:row>
      <xdr:rowOff>170165</xdr:rowOff>
    </xdr:to>
    <xdr:cxnSp macro="">
      <xdr:nvCxnSpPr>
        <xdr:cNvPr id="114" name="直線コネクタ 113">
          <a:extLst>
            <a:ext uri="{FF2B5EF4-FFF2-40B4-BE49-F238E27FC236}">
              <a16:creationId xmlns:a16="http://schemas.microsoft.com/office/drawing/2014/main" id="{A2B9B956-EE20-4F1A-B772-9E115F46CBF9}"/>
            </a:ext>
          </a:extLst>
        </xdr:cNvPr>
        <xdr:cNvCxnSpPr/>
      </xdr:nvCxnSpPr>
      <xdr:spPr>
        <a:xfrm>
          <a:off x="13804885" y="6416842"/>
          <a:ext cx="0" cy="11669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122307</xdr:colOff>
      <xdr:row>28</xdr:row>
      <xdr:rowOff>43448</xdr:rowOff>
    </xdr:from>
    <xdr:to>
      <xdr:col>60</xdr:col>
      <xdr:colOff>122307</xdr:colOff>
      <xdr:row>28</xdr:row>
      <xdr:rowOff>168898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8AE09E83-81C3-BA15-3F8E-5A506A7496B5}"/>
            </a:ext>
          </a:extLst>
        </xdr:cNvPr>
        <xdr:cNvCxnSpPr/>
      </xdr:nvCxnSpPr>
      <xdr:spPr>
        <a:xfrm>
          <a:off x="13758096" y="6406816"/>
          <a:ext cx="0" cy="1254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30079</xdr:colOff>
      <xdr:row>28</xdr:row>
      <xdr:rowOff>82788</xdr:rowOff>
    </xdr:from>
    <xdr:to>
      <xdr:col>60</xdr:col>
      <xdr:colOff>128618</xdr:colOff>
      <xdr:row>28</xdr:row>
      <xdr:rowOff>82788</xdr:rowOff>
    </xdr:to>
    <xdr:cxnSp macro="">
      <xdr:nvCxnSpPr>
        <xdr:cNvPr id="117" name="直線コネクタ 116">
          <a:extLst>
            <a:ext uri="{FF2B5EF4-FFF2-40B4-BE49-F238E27FC236}">
              <a16:creationId xmlns:a16="http://schemas.microsoft.com/office/drawing/2014/main" id="{6E0352F1-5521-34B4-51A0-C05B36CA1F27}"/>
            </a:ext>
          </a:extLst>
        </xdr:cNvPr>
        <xdr:cNvCxnSpPr/>
      </xdr:nvCxnSpPr>
      <xdr:spPr>
        <a:xfrm>
          <a:off x="13665868" y="6446156"/>
          <a:ext cx="98539" cy="0"/>
        </a:xfrm>
        <a:prstGeom prst="line">
          <a:avLst/>
        </a:prstGeom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160422</xdr:colOff>
      <xdr:row>28</xdr:row>
      <xdr:rowOff>82788</xdr:rowOff>
    </xdr:from>
    <xdr:to>
      <xdr:col>61</xdr:col>
      <xdr:colOff>31697</xdr:colOff>
      <xdr:row>28</xdr:row>
      <xdr:rowOff>82788</xdr:rowOff>
    </xdr:to>
    <xdr:cxnSp macro="">
      <xdr:nvCxnSpPr>
        <xdr:cNvPr id="122" name="直線コネクタ 121">
          <a:extLst>
            <a:ext uri="{FF2B5EF4-FFF2-40B4-BE49-F238E27FC236}">
              <a16:creationId xmlns:a16="http://schemas.microsoft.com/office/drawing/2014/main" id="{F1EC9B43-508B-F27F-F471-5DE9B434F35D}"/>
            </a:ext>
          </a:extLst>
        </xdr:cNvPr>
        <xdr:cNvCxnSpPr/>
      </xdr:nvCxnSpPr>
      <xdr:spPr>
        <a:xfrm>
          <a:off x="13796211" y="6446156"/>
          <a:ext cx="9853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132548</xdr:colOff>
      <xdr:row>27</xdr:row>
      <xdr:rowOff>104326</xdr:rowOff>
    </xdr:from>
    <xdr:ext cx="387607" cy="224998"/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4061429A-2546-B177-1428-DF7ABFBE25D1}"/>
            </a:ext>
          </a:extLst>
        </xdr:cNvPr>
        <xdr:cNvSpPr txBox="1"/>
      </xdr:nvSpPr>
      <xdr:spPr>
        <a:xfrm>
          <a:off x="13768337" y="6240431"/>
          <a:ext cx="3876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61</xdr:col>
      <xdr:colOff>149257</xdr:colOff>
      <xdr:row>27</xdr:row>
      <xdr:rowOff>109540</xdr:rowOff>
    </xdr:from>
    <xdr:ext cx="444352" cy="224998"/>
    <xdr:sp macro="" textlink="$BB$34">
      <xdr:nvSpPr>
        <xdr:cNvPr id="124" name="テキスト ボックス 123">
          <a:extLst>
            <a:ext uri="{FF2B5EF4-FFF2-40B4-BE49-F238E27FC236}">
              <a16:creationId xmlns:a16="http://schemas.microsoft.com/office/drawing/2014/main" id="{E6CCFC52-9438-B51D-99DB-010D54099C82}"/>
            </a:ext>
          </a:extLst>
        </xdr:cNvPr>
        <xdr:cNvSpPr txBox="1"/>
      </xdr:nvSpPr>
      <xdr:spPr>
        <a:xfrm>
          <a:off x="14012310" y="624564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32D5410-D9AF-473D-8D35-04CD1FDDBDB9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0.100</a:t>
          </a:fld>
          <a:endParaRPr kumimoji="1" lang="ja-JP" altLang="en-US" sz="9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62</xdr:col>
      <xdr:colOff>130572</xdr:colOff>
      <xdr:row>4</xdr:row>
      <xdr:rowOff>135194</xdr:rowOff>
    </xdr:from>
    <xdr:to>
      <xdr:col>65</xdr:col>
      <xdr:colOff>33049</xdr:colOff>
      <xdr:row>13</xdr:row>
      <xdr:rowOff>132775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7D855D00-7041-47A1-A36A-6431ACD7DE8C}"/>
            </a:ext>
          </a:extLst>
        </xdr:cNvPr>
        <xdr:cNvCxnSpPr/>
      </xdr:nvCxnSpPr>
      <xdr:spPr>
        <a:xfrm flipH="1">
          <a:off x="14303772" y="1049594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60</xdr:col>
      <xdr:colOff>144447</xdr:colOff>
      <xdr:row>14</xdr:row>
      <xdr:rowOff>12385</xdr:rowOff>
    </xdr:from>
    <xdr:to>
      <xdr:col>62</xdr:col>
      <xdr:colOff>164123</xdr:colOff>
      <xdr:row>15</xdr:row>
      <xdr:rowOff>156361</xdr:rowOff>
    </xdr:to>
    <xdr:sp macro="" textlink="">
      <xdr:nvSpPr>
        <xdr:cNvPr id="241" name="フローチャート: 手操作入力 240">
          <a:extLst>
            <a:ext uri="{FF2B5EF4-FFF2-40B4-BE49-F238E27FC236}">
              <a16:creationId xmlns:a16="http://schemas.microsoft.com/office/drawing/2014/main" id="{BDF33975-3D56-B2D0-EE78-D2B2781E24AC}"/>
            </a:ext>
          </a:extLst>
        </xdr:cNvPr>
        <xdr:cNvSpPr/>
      </xdr:nvSpPr>
      <xdr:spPr>
        <a:xfrm flipV="1">
          <a:off x="13860447" y="3212785"/>
          <a:ext cx="476876" cy="372576"/>
        </a:xfrm>
        <a:prstGeom prst="flowChartManualInput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64</xdr:col>
      <xdr:colOff>51419</xdr:colOff>
      <xdr:row>4</xdr:row>
      <xdr:rowOff>133940</xdr:rowOff>
    </xdr:from>
    <xdr:to>
      <xdr:col>65</xdr:col>
      <xdr:colOff>20330</xdr:colOff>
      <xdr:row>10</xdr:row>
      <xdr:rowOff>207681</xdr:rowOff>
    </xdr:to>
    <xdr:sp macro="" textlink="">
      <xdr:nvSpPr>
        <xdr:cNvPr id="229" name="直角三角形 228">
          <a:extLst>
            <a:ext uri="{FF2B5EF4-FFF2-40B4-BE49-F238E27FC236}">
              <a16:creationId xmlns:a16="http://schemas.microsoft.com/office/drawing/2014/main" id="{D32BD3A1-DC40-A8CC-8816-ACC6B6C84D2A}"/>
            </a:ext>
          </a:extLst>
        </xdr:cNvPr>
        <xdr:cNvSpPr/>
      </xdr:nvSpPr>
      <xdr:spPr>
        <a:xfrm rot="11760000" flipH="1">
          <a:off x="14681819" y="1048340"/>
          <a:ext cx="197511" cy="1445341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30</xdr:col>
      <xdr:colOff>207585</xdr:colOff>
      <xdr:row>20</xdr:row>
      <xdr:rowOff>135459</xdr:rowOff>
    </xdr:from>
    <xdr:to>
      <xdr:col>31</xdr:col>
      <xdr:colOff>148828</xdr:colOff>
      <xdr:row>23</xdr:row>
      <xdr:rowOff>436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10EC1D55-E1F9-467F-90A3-21C349BE2F19}"/>
            </a:ext>
          </a:extLst>
        </xdr:cNvPr>
        <xdr:cNvCxnSpPr/>
      </xdr:nvCxnSpPr>
      <xdr:spPr>
        <a:xfrm flipV="1">
          <a:off x="6994148" y="5409928"/>
          <a:ext cx="167461" cy="57651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140112</xdr:colOff>
      <xdr:row>21</xdr:row>
      <xdr:rowOff>192989</xdr:rowOff>
    </xdr:from>
    <xdr:to>
      <xdr:col>27</xdr:col>
      <xdr:colOff>140112</xdr:colOff>
      <xdr:row>24</xdr:row>
      <xdr:rowOff>190204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533FBC2D-3DE8-4D3D-BBA7-D5E94A04140B}"/>
            </a:ext>
          </a:extLst>
        </xdr:cNvPr>
        <xdr:cNvCxnSpPr/>
      </xdr:nvCxnSpPr>
      <xdr:spPr>
        <a:xfrm>
          <a:off x="6248018" y="5705583"/>
          <a:ext cx="0" cy="71159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39497</xdr:colOff>
      <xdr:row>20</xdr:row>
      <xdr:rowOff>83986</xdr:rowOff>
    </xdr:from>
    <xdr:ext cx="323807" cy="224998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2B7BC306-E767-43F0-A193-C33479BE2E64}"/>
            </a:ext>
          </a:extLst>
        </xdr:cNvPr>
        <xdr:cNvSpPr txBox="1"/>
      </xdr:nvSpPr>
      <xdr:spPr>
        <a:xfrm>
          <a:off x="5921185" y="5358455"/>
          <a:ext cx="3238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223062</xdr:colOff>
      <xdr:row>25</xdr:row>
      <xdr:rowOff>169010</xdr:rowOff>
    </xdr:from>
    <xdr:ext cx="365165" cy="224998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F638125C-C8C8-4538-BB79-A3DF3C49C4F3}"/>
            </a:ext>
          </a:extLst>
        </xdr:cNvPr>
        <xdr:cNvSpPr txBox="1"/>
      </xdr:nvSpPr>
      <xdr:spPr>
        <a:xfrm>
          <a:off x="5426093" y="6634104"/>
          <a:ext cx="36516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39956</xdr:colOff>
      <xdr:row>25</xdr:row>
      <xdr:rowOff>176074</xdr:rowOff>
    </xdr:from>
    <xdr:ext cx="444352" cy="224998"/>
    <xdr:sp macro="" textlink="$W$19">
      <xdr:nvSpPr>
        <xdr:cNvPr id="45" name="テキスト ボックス 44">
          <a:extLst>
            <a:ext uri="{FF2B5EF4-FFF2-40B4-BE49-F238E27FC236}">
              <a16:creationId xmlns:a16="http://schemas.microsoft.com/office/drawing/2014/main" id="{3F5358B9-7AC5-4C70-8E30-8A9FD97FBFA6}"/>
            </a:ext>
          </a:extLst>
        </xdr:cNvPr>
        <xdr:cNvSpPr txBox="1"/>
      </xdr:nvSpPr>
      <xdr:spPr>
        <a:xfrm>
          <a:off x="5695425" y="664116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B78893C-CA14-4B07-A1F2-33288652364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1.117</a:t>
          </a:fld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16968</xdr:colOff>
      <xdr:row>20</xdr:row>
      <xdr:rowOff>79385</xdr:rowOff>
    </xdr:from>
    <xdr:ext cx="249748" cy="224998"/>
    <xdr:sp macro="" textlink="">
      <xdr:nvSpPr>
        <xdr:cNvPr id="107" name="テキスト ボックス 106">
          <a:extLst>
            <a:ext uri="{FF2B5EF4-FFF2-40B4-BE49-F238E27FC236}">
              <a16:creationId xmlns:a16="http://schemas.microsoft.com/office/drawing/2014/main" id="{564DDF2B-42DC-4B02-924E-8A77B1DAA669}"/>
            </a:ext>
          </a:extLst>
        </xdr:cNvPr>
        <xdr:cNvSpPr txBox="1"/>
      </xdr:nvSpPr>
      <xdr:spPr>
        <a:xfrm>
          <a:off x="6124874" y="5353854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31</xdr:col>
      <xdr:colOff>160766</xdr:colOff>
      <xdr:row>25</xdr:row>
      <xdr:rowOff>72611</xdr:rowOff>
    </xdr:from>
    <xdr:to>
      <xdr:col>31</xdr:col>
      <xdr:colOff>160766</xdr:colOff>
      <xdr:row>27</xdr:row>
      <xdr:rowOff>74685</xdr:rowOff>
    </xdr:to>
    <xdr:cxnSp macro="">
      <xdr:nvCxnSpPr>
        <xdr:cNvPr id="112" name="直線コネクタ 111">
          <a:extLst>
            <a:ext uri="{FF2B5EF4-FFF2-40B4-BE49-F238E27FC236}">
              <a16:creationId xmlns:a16="http://schemas.microsoft.com/office/drawing/2014/main" id="{7706BEFF-CCB5-41DE-8109-E22463CCB8EB}"/>
            </a:ext>
          </a:extLst>
        </xdr:cNvPr>
        <xdr:cNvCxnSpPr/>
      </xdr:nvCxnSpPr>
      <xdr:spPr>
        <a:xfrm>
          <a:off x="7173547" y="6537705"/>
          <a:ext cx="0" cy="47832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70298</xdr:colOff>
      <xdr:row>26</xdr:row>
      <xdr:rowOff>232180</xdr:rowOff>
    </xdr:from>
    <xdr:ext cx="349135" cy="224998"/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CB32527D-7D7C-490E-B1E9-A493DA8F098E}"/>
            </a:ext>
          </a:extLst>
        </xdr:cNvPr>
        <xdr:cNvSpPr txBox="1"/>
      </xdr:nvSpPr>
      <xdr:spPr>
        <a:xfrm>
          <a:off x="5951986" y="6935399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22</xdr:col>
      <xdr:colOff>224813</xdr:colOff>
      <xdr:row>26</xdr:row>
      <xdr:rowOff>229956</xdr:rowOff>
    </xdr:from>
    <xdr:to>
      <xdr:col>31</xdr:col>
      <xdr:colOff>160152</xdr:colOff>
      <xdr:row>27</xdr:row>
      <xdr:rowOff>5142</xdr:rowOff>
    </xdr:to>
    <xdr:cxnSp macro="">
      <xdr:nvCxnSpPr>
        <xdr:cNvPr id="114" name="直線コネクタ 113">
          <a:extLst>
            <a:ext uri="{FF2B5EF4-FFF2-40B4-BE49-F238E27FC236}">
              <a16:creationId xmlns:a16="http://schemas.microsoft.com/office/drawing/2014/main" id="{7B2B839D-ED0B-4279-8851-9B083BCD6AC8}"/>
            </a:ext>
          </a:extLst>
        </xdr:cNvPr>
        <xdr:cNvCxnSpPr/>
      </xdr:nvCxnSpPr>
      <xdr:spPr>
        <a:xfrm>
          <a:off x="5201626" y="6933175"/>
          <a:ext cx="197130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158898</xdr:colOff>
      <xdr:row>24</xdr:row>
      <xdr:rowOff>153816</xdr:rowOff>
    </xdr:from>
    <xdr:to>
      <xdr:col>29</xdr:col>
      <xdr:colOff>58915</xdr:colOff>
      <xdr:row>24</xdr:row>
      <xdr:rowOff>153816</xdr:rowOff>
    </xdr:to>
    <xdr:cxnSp macro="">
      <xdr:nvCxnSpPr>
        <xdr:cNvPr id="204" name="直線コネクタ 203">
          <a:extLst>
            <a:ext uri="{FF2B5EF4-FFF2-40B4-BE49-F238E27FC236}">
              <a16:creationId xmlns:a16="http://schemas.microsoft.com/office/drawing/2014/main" id="{1F0F29B1-A95B-4B23-8DA0-B28A853918A9}"/>
            </a:ext>
          </a:extLst>
        </xdr:cNvPr>
        <xdr:cNvCxnSpPr/>
      </xdr:nvCxnSpPr>
      <xdr:spPr>
        <a:xfrm rot="5400000">
          <a:off x="6443032" y="6204557"/>
          <a:ext cx="0" cy="352455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108853</xdr:colOff>
      <xdr:row>23</xdr:row>
      <xdr:rowOff>206220</xdr:rowOff>
    </xdr:from>
    <xdr:ext cx="335220" cy="224998"/>
    <xdr:sp macro="" textlink="">
      <xdr:nvSpPr>
        <xdr:cNvPr id="226" name="テキスト ボックス 225">
          <a:extLst>
            <a:ext uri="{FF2B5EF4-FFF2-40B4-BE49-F238E27FC236}">
              <a16:creationId xmlns:a16="http://schemas.microsoft.com/office/drawing/2014/main" id="{9A04930B-F7B4-4F37-A540-307323FF1094}"/>
            </a:ext>
          </a:extLst>
        </xdr:cNvPr>
        <xdr:cNvSpPr txBox="1"/>
      </xdr:nvSpPr>
      <xdr:spPr>
        <a:xfrm>
          <a:off x="6442978" y="6195064"/>
          <a:ext cx="3352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70032</xdr:colOff>
      <xdr:row>23</xdr:row>
      <xdr:rowOff>203035</xdr:rowOff>
    </xdr:from>
    <xdr:ext cx="249748" cy="224998"/>
    <xdr:sp macro="" textlink="">
      <xdr:nvSpPr>
        <xdr:cNvPr id="227" name="テキスト ボックス 226">
          <a:extLst>
            <a:ext uri="{FF2B5EF4-FFF2-40B4-BE49-F238E27FC236}">
              <a16:creationId xmlns:a16="http://schemas.microsoft.com/office/drawing/2014/main" id="{A4A83097-2CE6-B17B-BC1B-C972DFE8B561}"/>
            </a:ext>
          </a:extLst>
        </xdr:cNvPr>
        <xdr:cNvSpPr txBox="1"/>
      </xdr:nvSpPr>
      <xdr:spPr>
        <a:xfrm>
          <a:off x="6630376" y="6191879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23</xdr:col>
      <xdr:colOff>1739</xdr:colOff>
      <xdr:row>25</xdr:row>
      <xdr:rowOff>61697</xdr:rowOff>
    </xdr:from>
    <xdr:to>
      <xdr:col>23</xdr:col>
      <xdr:colOff>1739</xdr:colOff>
      <xdr:row>27</xdr:row>
      <xdr:rowOff>74685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2B909792-FEBC-0B67-0D27-5623C81336F0}"/>
            </a:ext>
          </a:extLst>
        </xdr:cNvPr>
        <xdr:cNvCxnSpPr/>
      </xdr:nvCxnSpPr>
      <xdr:spPr>
        <a:xfrm>
          <a:off x="5204770" y="6526791"/>
          <a:ext cx="0" cy="48923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224813</xdr:colOff>
      <xdr:row>25</xdr:row>
      <xdr:rowOff>206057</xdr:rowOff>
    </xdr:from>
    <xdr:to>
      <xdr:col>27</xdr:col>
      <xdr:colOff>140213</xdr:colOff>
      <xdr:row>25</xdr:row>
      <xdr:rowOff>206057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4407520C-A0D2-F5A7-3629-76EDA2637739}"/>
            </a:ext>
          </a:extLst>
        </xdr:cNvPr>
        <xdr:cNvCxnSpPr/>
      </xdr:nvCxnSpPr>
      <xdr:spPr>
        <a:xfrm>
          <a:off x="5201626" y="6671151"/>
          <a:ext cx="104649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145526</xdr:colOff>
      <xdr:row>25</xdr:row>
      <xdr:rowOff>66647</xdr:rowOff>
    </xdr:from>
    <xdr:to>
      <xdr:col>27</xdr:col>
      <xdr:colOff>145526</xdr:colOff>
      <xdr:row>26</xdr:row>
      <xdr:rowOff>57367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3D0FC5CC-2EAB-576E-1C60-673820B95C2B}"/>
            </a:ext>
          </a:extLst>
        </xdr:cNvPr>
        <xdr:cNvCxnSpPr/>
      </xdr:nvCxnSpPr>
      <xdr:spPr>
        <a:xfrm>
          <a:off x="6253432" y="6531741"/>
          <a:ext cx="0" cy="22884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57</xdr:col>
      <xdr:colOff>123991</xdr:colOff>
      <xdr:row>8</xdr:row>
      <xdr:rowOff>168813</xdr:rowOff>
    </xdr:from>
    <xdr:ext cx="224998" cy="361959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3384290D-B7C9-45A1-B311-828A695348D7}"/>
            </a:ext>
          </a:extLst>
        </xdr:cNvPr>
        <xdr:cNvSpPr txBox="1"/>
      </xdr:nvSpPr>
      <xdr:spPr>
        <a:xfrm rot="16200000">
          <a:off x="13085710" y="2066094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62</xdr:col>
      <xdr:colOff>149847</xdr:colOff>
      <xdr:row>2</xdr:row>
      <xdr:rowOff>220709</xdr:rowOff>
    </xdr:from>
    <xdr:ext cx="336311" cy="224998"/>
    <xdr:sp macro="" textlink="">
      <xdr:nvSpPr>
        <xdr:cNvPr id="83" name="テキスト ボックス 82">
          <a:extLst>
            <a:ext uri="{FF2B5EF4-FFF2-40B4-BE49-F238E27FC236}">
              <a16:creationId xmlns:a16="http://schemas.microsoft.com/office/drawing/2014/main" id="{EC0EBBC4-6894-4819-A928-1AB0788F3F53}"/>
            </a:ext>
          </a:extLst>
        </xdr:cNvPr>
        <xdr:cNvSpPr txBox="1"/>
      </xdr:nvSpPr>
      <xdr:spPr>
        <a:xfrm>
          <a:off x="14323047" y="677909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58</xdr:col>
      <xdr:colOff>21329</xdr:colOff>
      <xdr:row>4</xdr:row>
      <xdr:rowOff>134615</xdr:rowOff>
    </xdr:from>
    <xdr:to>
      <xdr:col>62</xdr:col>
      <xdr:colOff>199292</xdr:colOff>
      <xdr:row>4</xdr:row>
      <xdr:rowOff>134615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1773F8C3-33C2-4360-B062-EAF13FB8757E}"/>
            </a:ext>
          </a:extLst>
        </xdr:cNvPr>
        <xdr:cNvCxnSpPr/>
      </xdr:nvCxnSpPr>
      <xdr:spPr>
        <a:xfrm>
          <a:off x="13280129" y="1049015"/>
          <a:ext cx="109236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101743</xdr:colOff>
      <xdr:row>4</xdr:row>
      <xdr:rowOff>145007</xdr:rowOff>
    </xdr:from>
    <xdr:to>
      <xdr:col>58</xdr:col>
      <xdr:colOff>101743</xdr:colOff>
      <xdr:row>13</xdr:row>
      <xdr:rowOff>223917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86C54DB2-C7FB-4970-80C0-DB2E2F8001F4}"/>
            </a:ext>
          </a:extLst>
        </xdr:cNvPr>
        <xdr:cNvCxnSpPr/>
      </xdr:nvCxnSpPr>
      <xdr:spPr>
        <a:xfrm>
          <a:off x="13360543" y="1059407"/>
          <a:ext cx="0" cy="2136310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94409</xdr:colOff>
      <xdr:row>3</xdr:row>
      <xdr:rowOff>161606</xdr:rowOff>
    </xdr:from>
    <xdr:to>
      <xdr:col>63</xdr:col>
      <xdr:colOff>94409</xdr:colOff>
      <xdr:row>4</xdr:row>
      <xdr:rowOff>90717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5990D35F-DC21-4727-8B59-4F02ED27B2D7}"/>
            </a:ext>
          </a:extLst>
        </xdr:cNvPr>
        <xdr:cNvCxnSpPr/>
      </xdr:nvCxnSpPr>
      <xdr:spPr>
        <a:xfrm>
          <a:off x="14496209" y="847406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58</xdr:col>
      <xdr:colOff>46350</xdr:colOff>
      <xdr:row>14</xdr:row>
      <xdr:rowOff>5164</xdr:rowOff>
    </xdr:from>
    <xdr:to>
      <xdr:col>58</xdr:col>
      <xdr:colOff>203879</xdr:colOff>
      <xdr:row>14</xdr:row>
      <xdr:rowOff>5164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8380FCF-8DE9-4422-A9C4-555493D396D9}"/>
            </a:ext>
          </a:extLst>
        </xdr:cNvPr>
        <xdr:cNvCxnSpPr/>
      </xdr:nvCxnSpPr>
      <xdr:spPr>
        <a:xfrm>
          <a:off x="13305150" y="3205564"/>
          <a:ext cx="157529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23819</xdr:colOff>
      <xdr:row>3</xdr:row>
      <xdr:rowOff>161606</xdr:rowOff>
    </xdr:from>
    <xdr:to>
      <xdr:col>65</xdr:col>
      <xdr:colOff>23819</xdr:colOff>
      <xdr:row>4</xdr:row>
      <xdr:rowOff>90717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97460CD4-F208-4CDB-A754-D3A438690BAD}"/>
            </a:ext>
          </a:extLst>
        </xdr:cNvPr>
        <xdr:cNvCxnSpPr/>
      </xdr:nvCxnSpPr>
      <xdr:spPr>
        <a:xfrm>
          <a:off x="14882819" y="847406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93923</xdr:colOff>
      <xdr:row>3</xdr:row>
      <xdr:rowOff>199001</xdr:rowOff>
    </xdr:from>
    <xdr:to>
      <xdr:col>65</xdr:col>
      <xdr:colOff>5862</xdr:colOff>
      <xdr:row>3</xdr:row>
      <xdr:rowOff>199001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0D884C25-4804-4F12-B0DA-5B92522144C4}"/>
            </a:ext>
          </a:extLst>
        </xdr:cNvPr>
        <xdr:cNvCxnSpPr/>
      </xdr:nvCxnSpPr>
      <xdr:spPr>
        <a:xfrm>
          <a:off x="14495723" y="884801"/>
          <a:ext cx="369139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91996</xdr:colOff>
      <xdr:row>17</xdr:row>
      <xdr:rowOff>49441</xdr:rowOff>
    </xdr:from>
    <xdr:ext cx="349135" cy="224998"/>
    <xdr:sp macro="" textlink="">
      <xdr:nvSpPr>
        <xdr:cNvPr id="97" name="テキスト ボックス 96">
          <a:extLst>
            <a:ext uri="{FF2B5EF4-FFF2-40B4-BE49-F238E27FC236}">
              <a16:creationId xmlns:a16="http://schemas.microsoft.com/office/drawing/2014/main" id="{AA44F666-4695-4DE9-A001-6774008EBC9C}"/>
            </a:ext>
          </a:extLst>
        </xdr:cNvPr>
        <xdr:cNvSpPr txBox="1"/>
      </xdr:nvSpPr>
      <xdr:spPr>
        <a:xfrm>
          <a:off x="13807996" y="3935641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125376</xdr:colOff>
      <xdr:row>17</xdr:row>
      <xdr:rowOff>40576</xdr:rowOff>
    </xdr:from>
    <xdr:to>
      <xdr:col>62</xdr:col>
      <xdr:colOff>158262</xdr:colOff>
      <xdr:row>17</xdr:row>
      <xdr:rowOff>40576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40A0B05B-E32C-4896-8C87-0950A5ADA541}"/>
            </a:ext>
          </a:extLst>
        </xdr:cNvPr>
        <xdr:cNvCxnSpPr/>
      </xdr:nvCxnSpPr>
      <xdr:spPr>
        <a:xfrm>
          <a:off x="13841376" y="3926776"/>
          <a:ext cx="49008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127328</xdr:colOff>
      <xdr:row>16</xdr:row>
      <xdr:rowOff>1045</xdr:rowOff>
    </xdr:from>
    <xdr:to>
      <xdr:col>60</xdr:col>
      <xdr:colOff>127328</xdr:colOff>
      <xdr:row>17</xdr:row>
      <xdr:rowOff>86843</xdr:rowOff>
    </xdr:to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8A95D9ED-27B0-430C-A118-EA3884DE1C4F}"/>
            </a:ext>
          </a:extLst>
        </xdr:cNvPr>
        <xdr:cNvCxnSpPr/>
      </xdr:nvCxnSpPr>
      <xdr:spPr>
        <a:xfrm>
          <a:off x="13843328" y="3658645"/>
          <a:ext cx="0" cy="31439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145185</xdr:colOff>
      <xdr:row>14</xdr:row>
      <xdr:rowOff>7545</xdr:rowOff>
    </xdr:from>
    <xdr:to>
      <xdr:col>63</xdr:col>
      <xdr:colOff>90485</xdr:colOff>
      <xdr:row>14</xdr:row>
      <xdr:rowOff>7545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49819F3C-EB70-4662-9C65-5E54E427FDCD}"/>
            </a:ext>
          </a:extLst>
        </xdr:cNvPr>
        <xdr:cNvCxnSpPr/>
      </xdr:nvCxnSpPr>
      <xdr:spPr>
        <a:xfrm>
          <a:off x="13861185" y="3207945"/>
          <a:ext cx="631100" cy="0"/>
        </a:xfrm>
        <a:prstGeom prst="line">
          <a:avLst/>
        </a:prstGeom>
        <a:ln w="12700">
          <a:solidFill>
            <a:schemeClr val="tx1"/>
          </a:solidFill>
          <a:prstDash val="solid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168868</xdr:colOff>
      <xdr:row>15</xdr:row>
      <xdr:rowOff>217386</xdr:rowOff>
    </xdr:from>
    <xdr:to>
      <xdr:col>62</xdr:col>
      <xdr:colOff>168868</xdr:colOff>
      <xdr:row>17</xdr:row>
      <xdr:rowOff>74584</xdr:rowOff>
    </xdr:to>
    <xdr:cxnSp macro="">
      <xdr:nvCxnSpPr>
        <xdr:cNvPr id="198" name="直線コネクタ 197">
          <a:extLst>
            <a:ext uri="{FF2B5EF4-FFF2-40B4-BE49-F238E27FC236}">
              <a16:creationId xmlns:a16="http://schemas.microsoft.com/office/drawing/2014/main" id="{A27B6FCD-2CD0-42F2-9834-E757C2948582}"/>
            </a:ext>
          </a:extLst>
        </xdr:cNvPr>
        <xdr:cNvCxnSpPr/>
      </xdr:nvCxnSpPr>
      <xdr:spPr>
        <a:xfrm>
          <a:off x="14342068" y="3646386"/>
          <a:ext cx="0" cy="314398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66</xdr:col>
      <xdr:colOff>227216</xdr:colOff>
      <xdr:row>5</xdr:row>
      <xdr:rowOff>49098</xdr:rowOff>
    </xdr:from>
    <xdr:to>
      <xdr:col>69</xdr:col>
      <xdr:colOff>57276</xdr:colOff>
      <xdr:row>5</xdr:row>
      <xdr:rowOff>193821</xdr:rowOff>
    </xdr:to>
    <xdr:cxnSp macro="">
      <xdr:nvCxnSpPr>
        <xdr:cNvPr id="199" name="直線コネクタ 198">
          <a:extLst>
            <a:ext uri="{FF2B5EF4-FFF2-40B4-BE49-F238E27FC236}">
              <a16:creationId xmlns:a16="http://schemas.microsoft.com/office/drawing/2014/main" id="{A4816FB1-F6D1-EFCB-D791-0F11EE71F141}"/>
            </a:ext>
          </a:extLst>
        </xdr:cNvPr>
        <xdr:cNvCxnSpPr/>
      </xdr:nvCxnSpPr>
      <xdr:spPr>
        <a:xfrm>
          <a:off x="15314816" y="1192098"/>
          <a:ext cx="515860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66</xdr:col>
      <xdr:colOff>54409</xdr:colOff>
      <xdr:row>5</xdr:row>
      <xdr:rowOff>170875</xdr:rowOff>
    </xdr:from>
    <xdr:to>
      <xdr:col>68</xdr:col>
      <xdr:colOff>214450</xdr:colOff>
      <xdr:row>15</xdr:row>
      <xdr:rowOff>26298</xdr:rowOff>
    </xdr:to>
    <xdr:cxnSp macro="">
      <xdr:nvCxnSpPr>
        <xdr:cNvPr id="200" name="直線コネクタ 199">
          <a:extLst>
            <a:ext uri="{FF2B5EF4-FFF2-40B4-BE49-F238E27FC236}">
              <a16:creationId xmlns:a16="http://schemas.microsoft.com/office/drawing/2014/main" id="{A1B154AA-F51C-16A5-1ABE-B4F39ADB8FA7}"/>
            </a:ext>
          </a:extLst>
        </xdr:cNvPr>
        <xdr:cNvCxnSpPr/>
      </xdr:nvCxnSpPr>
      <xdr:spPr>
        <a:xfrm flipH="1">
          <a:off x="15142009" y="1313875"/>
          <a:ext cx="617241" cy="214142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55749</xdr:colOff>
      <xdr:row>14</xdr:row>
      <xdr:rowOff>131159</xdr:rowOff>
    </xdr:from>
    <xdr:to>
      <xdr:col>66</xdr:col>
      <xdr:colOff>110832</xdr:colOff>
      <xdr:row>15</xdr:row>
      <xdr:rowOff>49453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596EC40F-C113-710E-4716-472968C3D5BE}"/>
            </a:ext>
          </a:extLst>
        </xdr:cNvPr>
        <xdr:cNvCxnSpPr/>
      </xdr:nvCxnSpPr>
      <xdr:spPr>
        <a:xfrm>
          <a:off x="14686149" y="3331559"/>
          <a:ext cx="512283" cy="146894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67</xdr:col>
      <xdr:colOff>101342</xdr:colOff>
      <xdr:row>10</xdr:row>
      <xdr:rowOff>11093</xdr:rowOff>
    </xdr:from>
    <xdr:ext cx="242374" cy="271228"/>
    <xdr:sp macro="" textlink="">
      <xdr:nvSpPr>
        <xdr:cNvPr id="211" name="テキスト ボックス 210">
          <a:extLst>
            <a:ext uri="{FF2B5EF4-FFF2-40B4-BE49-F238E27FC236}">
              <a16:creationId xmlns:a16="http://schemas.microsoft.com/office/drawing/2014/main" id="{BB002908-0683-B296-1FA8-DA77058A1086}"/>
            </a:ext>
          </a:extLst>
        </xdr:cNvPr>
        <xdr:cNvSpPr txBox="1"/>
      </xdr:nvSpPr>
      <xdr:spPr>
        <a:xfrm rot="17220000">
          <a:off x="15403115" y="2311520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66</xdr:col>
      <xdr:colOff>83760</xdr:colOff>
      <xdr:row>7</xdr:row>
      <xdr:rowOff>143812</xdr:rowOff>
    </xdr:from>
    <xdr:ext cx="242374" cy="582980"/>
    <xdr:sp macro="" textlink="">
      <xdr:nvSpPr>
        <xdr:cNvPr id="212" name="テキスト ボックス 211">
          <a:extLst>
            <a:ext uri="{FF2B5EF4-FFF2-40B4-BE49-F238E27FC236}">
              <a16:creationId xmlns:a16="http://schemas.microsoft.com/office/drawing/2014/main" id="{00C71B84-1727-D5AD-B9CD-425EEBF73853}"/>
            </a:ext>
          </a:extLst>
        </xdr:cNvPr>
        <xdr:cNvSpPr txBox="1"/>
      </xdr:nvSpPr>
      <xdr:spPr>
        <a:xfrm rot="17233223">
          <a:off x="15001057" y="1914315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47212</xdr:colOff>
      <xdr:row>12</xdr:row>
      <xdr:rowOff>116871</xdr:rowOff>
    </xdr:from>
    <xdr:ext cx="242374" cy="305853"/>
    <xdr:sp macro="" textlink="">
      <xdr:nvSpPr>
        <xdr:cNvPr id="213" name="テキスト ボックス 212">
          <a:extLst>
            <a:ext uri="{FF2B5EF4-FFF2-40B4-BE49-F238E27FC236}">
              <a16:creationId xmlns:a16="http://schemas.microsoft.com/office/drawing/2014/main" id="{9A9490FE-77E8-EED1-72BE-F6D24AA1E0B3}"/>
            </a:ext>
          </a:extLst>
        </xdr:cNvPr>
        <xdr:cNvSpPr txBox="1"/>
      </xdr:nvSpPr>
      <xdr:spPr>
        <a:xfrm rot="17233223">
          <a:off x="14874472" y="2891811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64</xdr:col>
      <xdr:colOff>205429</xdr:colOff>
      <xdr:row>11</xdr:row>
      <xdr:rowOff>118606</xdr:rowOff>
    </xdr:from>
    <xdr:to>
      <xdr:col>65</xdr:col>
      <xdr:colOff>190711</xdr:colOff>
      <xdr:row>14</xdr:row>
      <xdr:rowOff>174217</xdr:rowOff>
    </xdr:to>
    <xdr:cxnSp macro="">
      <xdr:nvCxnSpPr>
        <xdr:cNvPr id="214" name="直線コネクタ 213">
          <a:extLst>
            <a:ext uri="{FF2B5EF4-FFF2-40B4-BE49-F238E27FC236}">
              <a16:creationId xmlns:a16="http://schemas.microsoft.com/office/drawing/2014/main" id="{D4C519B1-E9C9-435A-B291-F24AD2E371B5}"/>
            </a:ext>
          </a:extLst>
        </xdr:cNvPr>
        <xdr:cNvCxnSpPr/>
      </xdr:nvCxnSpPr>
      <xdr:spPr>
        <a:xfrm flipH="1">
          <a:off x="14835829" y="2633206"/>
          <a:ext cx="213882" cy="741411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187845</xdr:colOff>
      <xdr:row>5</xdr:row>
      <xdr:rowOff>101852</xdr:rowOff>
    </xdr:from>
    <xdr:to>
      <xdr:col>67</xdr:col>
      <xdr:colOff>123011</xdr:colOff>
      <xdr:row>11</xdr:row>
      <xdr:rowOff>114223</xdr:rowOff>
    </xdr:to>
    <xdr:cxnSp macro="">
      <xdr:nvCxnSpPr>
        <xdr:cNvPr id="217" name="直線コネクタ 216">
          <a:extLst>
            <a:ext uri="{FF2B5EF4-FFF2-40B4-BE49-F238E27FC236}">
              <a16:creationId xmlns:a16="http://schemas.microsoft.com/office/drawing/2014/main" id="{865A64A7-6C16-D0FC-B690-831F8744F72F}"/>
            </a:ext>
          </a:extLst>
        </xdr:cNvPr>
        <xdr:cNvCxnSpPr/>
      </xdr:nvCxnSpPr>
      <xdr:spPr>
        <a:xfrm flipH="1">
          <a:off x="15046845" y="1244852"/>
          <a:ext cx="392366" cy="1383971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35756</xdr:colOff>
      <xdr:row>11</xdr:row>
      <xdr:rowOff>72544</xdr:rowOff>
    </xdr:from>
    <xdr:to>
      <xdr:col>66</xdr:col>
      <xdr:colOff>57276</xdr:colOff>
      <xdr:row>11</xdr:row>
      <xdr:rowOff>141067</xdr:rowOff>
    </xdr:to>
    <xdr:cxnSp macro="">
      <xdr:nvCxnSpPr>
        <xdr:cNvPr id="219" name="直線コネクタ 218">
          <a:extLst>
            <a:ext uri="{FF2B5EF4-FFF2-40B4-BE49-F238E27FC236}">
              <a16:creationId xmlns:a16="http://schemas.microsoft.com/office/drawing/2014/main" id="{24910C75-700D-FE64-C41A-E0F2D7D9BF20}"/>
            </a:ext>
          </a:extLst>
        </xdr:cNvPr>
        <xdr:cNvCxnSpPr/>
      </xdr:nvCxnSpPr>
      <xdr:spPr>
        <a:xfrm>
          <a:off x="14894756" y="2587144"/>
          <a:ext cx="250120" cy="685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63506</xdr:colOff>
      <xdr:row>6</xdr:row>
      <xdr:rowOff>41416</xdr:rowOff>
    </xdr:from>
    <xdr:to>
      <xdr:col>65</xdr:col>
      <xdr:colOff>152483</xdr:colOff>
      <xdr:row>7</xdr:row>
      <xdr:rowOff>116667</xdr:rowOff>
    </xdr:to>
    <xdr:sp macro="" textlink="">
      <xdr:nvSpPr>
        <xdr:cNvPr id="221" name="円弧 220">
          <a:extLst>
            <a:ext uri="{FF2B5EF4-FFF2-40B4-BE49-F238E27FC236}">
              <a16:creationId xmlns:a16="http://schemas.microsoft.com/office/drawing/2014/main" id="{231F2344-2F4A-48CD-8AF3-1EA444047322}"/>
            </a:ext>
          </a:extLst>
        </xdr:cNvPr>
        <xdr:cNvSpPr/>
      </xdr:nvSpPr>
      <xdr:spPr>
        <a:xfrm rot="11917365">
          <a:off x="14693906" y="1413016"/>
          <a:ext cx="317577" cy="303851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65</xdr:col>
      <xdr:colOff>22559</xdr:colOff>
      <xdr:row>4</xdr:row>
      <xdr:rowOff>132710</xdr:rowOff>
    </xdr:from>
    <xdr:to>
      <xdr:col>65</xdr:col>
      <xdr:colOff>22559</xdr:colOff>
      <xdr:row>7</xdr:row>
      <xdr:rowOff>109998</xdr:rowOff>
    </xdr:to>
    <xdr:cxnSp macro="">
      <xdr:nvCxnSpPr>
        <xdr:cNvPr id="222" name="直線コネクタ 221">
          <a:extLst>
            <a:ext uri="{FF2B5EF4-FFF2-40B4-BE49-F238E27FC236}">
              <a16:creationId xmlns:a16="http://schemas.microsoft.com/office/drawing/2014/main" id="{5A9E9C2B-E268-4515-9349-5B9DBE903835}"/>
            </a:ext>
          </a:extLst>
        </xdr:cNvPr>
        <xdr:cNvCxnSpPr/>
      </xdr:nvCxnSpPr>
      <xdr:spPr>
        <a:xfrm>
          <a:off x="14881559" y="1047110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63</xdr:col>
      <xdr:colOff>172110</xdr:colOff>
      <xdr:row>7</xdr:row>
      <xdr:rowOff>64394</xdr:rowOff>
    </xdr:from>
    <xdr:ext cx="365165" cy="242374"/>
    <xdr:sp macro="" textlink="">
      <xdr:nvSpPr>
        <xdr:cNvPr id="223" name="テキスト ボックス 222">
          <a:extLst>
            <a:ext uri="{FF2B5EF4-FFF2-40B4-BE49-F238E27FC236}">
              <a16:creationId xmlns:a16="http://schemas.microsoft.com/office/drawing/2014/main" id="{96A3D6D4-CA11-41A8-B559-762288C17718}"/>
            </a:ext>
          </a:extLst>
        </xdr:cNvPr>
        <xdr:cNvSpPr txBox="1"/>
      </xdr:nvSpPr>
      <xdr:spPr>
        <a:xfrm>
          <a:off x="14515366" y="1658089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139764</xdr:colOff>
      <xdr:row>7</xdr:row>
      <xdr:rowOff>74932</xdr:rowOff>
    </xdr:from>
    <xdr:ext cx="386644" cy="224998"/>
    <xdr:sp macro="" textlink="$BA$23">
      <xdr:nvSpPr>
        <xdr:cNvPr id="224" name="テキスト ボックス 223">
          <a:extLst>
            <a:ext uri="{FF2B5EF4-FFF2-40B4-BE49-F238E27FC236}">
              <a16:creationId xmlns:a16="http://schemas.microsoft.com/office/drawing/2014/main" id="{C0975D4B-B5D2-43C4-9D97-0065C025E544}"/>
            </a:ext>
          </a:extLst>
        </xdr:cNvPr>
        <xdr:cNvSpPr txBox="1"/>
      </xdr:nvSpPr>
      <xdr:spPr>
        <a:xfrm>
          <a:off x="14710691" y="1668627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3E8A998-E210-4E9D-AC81-A01BF601D59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160190</xdr:colOff>
      <xdr:row>4</xdr:row>
      <xdr:rowOff>25649</xdr:rowOff>
    </xdr:from>
    <xdr:ext cx="263727" cy="224998"/>
    <xdr:sp macro="" textlink="">
      <xdr:nvSpPr>
        <xdr:cNvPr id="235" name="テキスト ボックス 234">
          <a:extLst>
            <a:ext uri="{FF2B5EF4-FFF2-40B4-BE49-F238E27FC236}">
              <a16:creationId xmlns:a16="http://schemas.microsoft.com/office/drawing/2014/main" id="{BBC8F0C3-1EA6-5CE6-9C17-C5077924A1F9}"/>
            </a:ext>
          </a:extLst>
        </xdr:cNvPr>
        <xdr:cNvSpPr txBox="1"/>
      </xdr:nvSpPr>
      <xdr:spPr>
        <a:xfrm>
          <a:off x="15019190" y="940049"/>
          <a:ext cx="26372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102405</xdr:colOff>
      <xdr:row>6</xdr:row>
      <xdr:rowOff>62416</xdr:rowOff>
    </xdr:from>
    <xdr:ext cx="289375" cy="224998"/>
    <xdr:sp macro="" textlink="">
      <xdr:nvSpPr>
        <xdr:cNvPr id="236" name="テキスト ボックス 235">
          <a:extLst>
            <a:ext uri="{FF2B5EF4-FFF2-40B4-BE49-F238E27FC236}">
              <a16:creationId xmlns:a16="http://schemas.microsoft.com/office/drawing/2014/main" id="{E00CDCB4-A569-6532-55F3-E1EA871018BB}"/>
            </a:ext>
          </a:extLst>
        </xdr:cNvPr>
        <xdr:cNvSpPr txBox="1"/>
      </xdr:nvSpPr>
      <xdr:spPr>
        <a:xfrm>
          <a:off x="14961405" y="1434016"/>
          <a:ext cx="28937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64</xdr:col>
      <xdr:colOff>118539</xdr:colOff>
      <xdr:row>6</xdr:row>
      <xdr:rowOff>129659</xdr:rowOff>
    </xdr:from>
    <xdr:to>
      <xdr:col>65</xdr:col>
      <xdr:colOff>156244</xdr:colOff>
      <xdr:row>6</xdr:row>
      <xdr:rowOff>206020</xdr:rowOff>
    </xdr:to>
    <xdr:cxnSp macro="">
      <xdr:nvCxnSpPr>
        <xdr:cNvPr id="237" name="直線コネクタ 236">
          <a:extLst>
            <a:ext uri="{FF2B5EF4-FFF2-40B4-BE49-F238E27FC236}">
              <a16:creationId xmlns:a16="http://schemas.microsoft.com/office/drawing/2014/main" id="{CDC11322-411A-4A14-AE2C-F8C7D6AC524A}"/>
            </a:ext>
          </a:extLst>
        </xdr:cNvPr>
        <xdr:cNvCxnSpPr/>
      </xdr:nvCxnSpPr>
      <xdr:spPr>
        <a:xfrm flipH="1" flipV="1">
          <a:off x="14748939" y="1501259"/>
          <a:ext cx="266305" cy="7636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102231</xdr:colOff>
      <xdr:row>14</xdr:row>
      <xdr:rowOff>7943</xdr:rowOff>
    </xdr:from>
    <xdr:to>
      <xdr:col>61</xdr:col>
      <xdr:colOff>102231</xdr:colOff>
      <xdr:row>16</xdr:row>
      <xdr:rowOff>50708</xdr:rowOff>
    </xdr:to>
    <xdr:cxnSp macro="">
      <xdr:nvCxnSpPr>
        <xdr:cNvPr id="242" name="直線コネクタ 241">
          <a:extLst>
            <a:ext uri="{FF2B5EF4-FFF2-40B4-BE49-F238E27FC236}">
              <a16:creationId xmlns:a16="http://schemas.microsoft.com/office/drawing/2014/main" id="{2E5026E8-B136-CF32-91AA-5D5CA464A985}"/>
            </a:ext>
          </a:extLst>
        </xdr:cNvPr>
        <xdr:cNvCxnSpPr/>
      </xdr:nvCxnSpPr>
      <xdr:spPr>
        <a:xfrm flipV="1">
          <a:off x="14046831" y="3208343"/>
          <a:ext cx="0" cy="499965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192976</xdr:colOff>
      <xdr:row>16</xdr:row>
      <xdr:rowOff>313</xdr:rowOff>
    </xdr:from>
    <xdr:ext cx="315023" cy="224998"/>
    <xdr:sp macro="" textlink="">
      <xdr:nvSpPr>
        <xdr:cNvPr id="246" name="テキスト ボックス 245">
          <a:extLst>
            <a:ext uri="{FF2B5EF4-FFF2-40B4-BE49-F238E27FC236}">
              <a16:creationId xmlns:a16="http://schemas.microsoft.com/office/drawing/2014/main" id="{5F681AAA-3CF0-E81D-BFA0-C4651D8C0058}"/>
            </a:ext>
          </a:extLst>
        </xdr:cNvPr>
        <xdr:cNvSpPr txBox="1"/>
      </xdr:nvSpPr>
      <xdr:spPr>
        <a:xfrm>
          <a:off x="13908976" y="3657913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61</xdr:col>
      <xdr:colOff>225464</xdr:colOff>
      <xdr:row>12</xdr:row>
      <xdr:rowOff>93611</xdr:rowOff>
    </xdr:from>
    <xdr:to>
      <xdr:col>62</xdr:col>
      <xdr:colOff>168368</xdr:colOff>
      <xdr:row>14</xdr:row>
      <xdr:rowOff>1097</xdr:rowOff>
    </xdr:to>
    <xdr:cxnSp macro="">
      <xdr:nvCxnSpPr>
        <xdr:cNvPr id="247" name="直線コネクタ 246">
          <a:extLst>
            <a:ext uri="{FF2B5EF4-FFF2-40B4-BE49-F238E27FC236}">
              <a16:creationId xmlns:a16="http://schemas.microsoft.com/office/drawing/2014/main" id="{491F1937-2010-7F2C-76CD-BF13F9EC0124}"/>
            </a:ext>
          </a:extLst>
        </xdr:cNvPr>
        <xdr:cNvCxnSpPr/>
      </xdr:nvCxnSpPr>
      <xdr:spPr>
        <a:xfrm flipH="1">
          <a:off x="14170064" y="2836811"/>
          <a:ext cx="171504" cy="364686"/>
        </a:xfrm>
        <a:prstGeom prst="line">
          <a:avLst/>
        </a:prstGeom>
        <a:ln w="25400">
          <a:solidFill>
            <a:schemeClr val="tx1"/>
          </a:solidFill>
          <a:prstDash val="sysDash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136665</xdr:colOff>
      <xdr:row>11</xdr:row>
      <xdr:rowOff>199845</xdr:rowOff>
    </xdr:from>
    <xdr:ext cx="562846" cy="285527"/>
    <xdr:sp macro="" textlink="">
      <xdr:nvSpPr>
        <xdr:cNvPr id="256" name="テキスト ボックス 255">
          <a:extLst>
            <a:ext uri="{FF2B5EF4-FFF2-40B4-BE49-F238E27FC236}">
              <a16:creationId xmlns:a16="http://schemas.microsoft.com/office/drawing/2014/main" id="{C26DCA3D-4B8E-A92D-8E81-4E23D2A7C37D}"/>
            </a:ext>
          </a:extLst>
        </xdr:cNvPr>
        <xdr:cNvSpPr txBox="1"/>
      </xdr:nvSpPr>
      <xdr:spPr>
        <a:xfrm>
          <a:off x="14309865" y="2714445"/>
          <a:ext cx="562846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(</a:t>
          </a:r>
          <a:r>
            <a:rPr kumimoji="1" lang="ja-JP" altLang="en-US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合力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  <a:endParaRPr kumimoji="1" lang="ja-JP" altLang="en-US" sz="900" i="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61</xdr:col>
      <xdr:colOff>141659</xdr:colOff>
      <xdr:row>14</xdr:row>
      <xdr:rowOff>44408</xdr:rowOff>
    </xdr:from>
    <xdr:to>
      <xdr:col>63</xdr:col>
      <xdr:colOff>46037</xdr:colOff>
      <xdr:row>14</xdr:row>
      <xdr:rowOff>44409</xdr:rowOff>
    </xdr:to>
    <xdr:cxnSp macro="">
      <xdr:nvCxnSpPr>
        <xdr:cNvPr id="262" name="直線コネクタ 261">
          <a:extLst>
            <a:ext uri="{FF2B5EF4-FFF2-40B4-BE49-F238E27FC236}">
              <a16:creationId xmlns:a16="http://schemas.microsoft.com/office/drawing/2014/main" id="{A827F333-B122-4D2C-BC74-D2BCEFD32A78}"/>
            </a:ext>
          </a:extLst>
        </xdr:cNvPr>
        <xdr:cNvCxnSpPr/>
      </xdr:nvCxnSpPr>
      <xdr:spPr>
        <a:xfrm>
          <a:off x="14086259" y="3244808"/>
          <a:ext cx="361578" cy="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61</xdr:col>
      <xdr:colOff>143923</xdr:colOff>
      <xdr:row>14</xdr:row>
      <xdr:rowOff>7503</xdr:rowOff>
    </xdr:from>
    <xdr:ext cx="323615" cy="224998"/>
    <xdr:sp macro="" textlink="">
      <xdr:nvSpPr>
        <xdr:cNvPr id="264" name="テキスト ボックス 263">
          <a:extLst>
            <a:ext uri="{FF2B5EF4-FFF2-40B4-BE49-F238E27FC236}">
              <a16:creationId xmlns:a16="http://schemas.microsoft.com/office/drawing/2014/main" id="{AF8E2BCA-5568-3362-5ABC-60CF8033C2BA}"/>
            </a:ext>
          </a:extLst>
        </xdr:cNvPr>
        <xdr:cNvSpPr txBox="1"/>
      </xdr:nvSpPr>
      <xdr:spPr>
        <a:xfrm>
          <a:off x="14088523" y="3207903"/>
          <a:ext cx="32361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62</xdr:col>
      <xdr:colOff>107744</xdr:colOff>
      <xdr:row>14</xdr:row>
      <xdr:rowOff>204580</xdr:rowOff>
    </xdr:from>
    <xdr:ext cx="315023" cy="224998"/>
    <xdr:sp macro="" textlink="">
      <xdr:nvSpPr>
        <xdr:cNvPr id="265" name="テキスト ボックス 264">
          <a:extLst>
            <a:ext uri="{FF2B5EF4-FFF2-40B4-BE49-F238E27FC236}">
              <a16:creationId xmlns:a16="http://schemas.microsoft.com/office/drawing/2014/main" id="{77B69215-7514-9B2A-CD2B-24C75642D237}"/>
            </a:ext>
          </a:extLst>
        </xdr:cNvPr>
        <xdr:cNvSpPr txBox="1"/>
      </xdr:nvSpPr>
      <xdr:spPr>
        <a:xfrm>
          <a:off x="14280944" y="3404980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r>
            <a:rPr kumimoji="1" lang="en-US" altLang="ja-JP" sz="900" i="0" baseline="-250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kumimoji="1" lang="ja-JP" altLang="en-US" sz="900" i="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59</xdr:col>
      <xdr:colOff>131500</xdr:colOff>
      <xdr:row>14</xdr:row>
      <xdr:rowOff>149197</xdr:rowOff>
    </xdr:from>
    <xdr:ext cx="315023" cy="224998"/>
    <xdr:sp macro="" textlink="">
      <xdr:nvSpPr>
        <xdr:cNvPr id="273" name="テキスト ボックス 272">
          <a:extLst>
            <a:ext uri="{FF2B5EF4-FFF2-40B4-BE49-F238E27FC236}">
              <a16:creationId xmlns:a16="http://schemas.microsoft.com/office/drawing/2014/main" id="{E27B5AC4-6A19-FEA4-700B-885DE819C210}"/>
            </a:ext>
          </a:extLst>
        </xdr:cNvPr>
        <xdr:cNvSpPr txBox="1"/>
      </xdr:nvSpPr>
      <xdr:spPr>
        <a:xfrm>
          <a:off x="13618900" y="3349597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r>
            <a:rPr kumimoji="1" lang="en-US" altLang="ja-JP" sz="900" i="0" baseline="-25000">
              <a:latin typeface="Times New Roman" panose="02020603050405020304" pitchFamily="18" charset="0"/>
              <a:cs typeface="Times New Roman" panose="02020603050405020304" pitchFamily="18" charset="0"/>
            </a:rPr>
            <a:t>1</a:t>
          </a:r>
          <a:endParaRPr kumimoji="1" lang="ja-JP" altLang="en-US" sz="900" i="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60</xdr:col>
      <xdr:colOff>112361</xdr:colOff>
      <xdr:row>13</xdr:row>
      <xdr:rowOff>205198</xdr:rowOff>
    </xdr:from>
    <xdr:to>
      <xdr:col>60</xdr:col>
      <xdr:colOff>164026</xdr:colOff>
      <xdr:row>14</xdr:row>
      <xdr:rowOff>32745</xdr:rowOff>
    </xdr:to>
    <xdr:sp macro="" textlink="">
      <xdr:nvSpPr>
        <xdr:cNvPr id="274" name="楕円 273">
          <a:extLst>
            <a:ext uri="{FF2B5EF4-FFF2-40B4-BE49-F238E27FC236}">
              <a16:creationId xmlns:a16="http://schemas.microsoft.com/office/drawing/2014/main" id="{16097B5C-6651-7AC6-5151-C13AC311DEBF}"/>
            </a:ext>
          </a:extLst>
        </xdr:cNvPr>
        <xdr:cNvSpPr/>
      </xdr:nvSpPr>
      <xdr:spPr>
        <a:xfrm>
          <a:off x="13828361" y="3176998"/>
          <a:ext cx="51665" cy="5614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60</xdr:col>
      <xdr:colOff>140179</xdr:colOff>
      <xdr:row>11</xdr:row>
      <xdr:rowOff>213218</xdr:rowOff>
    </xdr:from>
    <xdr:to>
      <xdr:col>60</xdr:col>
      <xdr:colOff>140179</xdr:colOff>
      <xdr:row>13</xdr:row>
      <xdr:rowOff>197307</xdr:rowOff>
    </xdr:to>
    <xdr:cxnSp macro="">
      <xdr:nvCxnSpPr>
        <xdr:cNvPr id="275" name="直線コネクタ 274">
          <a:extLst>
            <a:ext uri="{FF2B5EF4-FFF2-40B4-BE49-F238E27FC236}">
              <a16:creationId xmlns:a16="http://schemas.microsoft.com/office/drawing/2014/main" id="{BB354EF6-F87A-09BB-F718-AFBD5FF3821E}"/>
            </a:ext>
          </a:extLst>
        </xdr:cNvPr>
        <xdr:cNvCxnSpPr/>
      </xdr:nvCxnSpPr>
      <xdr:spPr>
        <a:xfrm>
          <a:off x="13856179" y="2727818"/>
          <a:ext cx="0" cy="441289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58</xdr:col>
      <xdr:colOff>34834</xdr:colOff>
      <xdr:row>11</xdr:row>
      <xdr:rowOff>11514</xdr:rowOff>
    </xdr:from>
    <xdr:ext cx="322396" cy="224998"/>
    <xdr:sp macro="" textlink="">
      <xdr:nvSpPr>
        <xdr:cNvPr id="279" name="テキスト ボックス 278">
          <a:extLst>
            <a:ext uri="{FF2B5EF4-FFF2-40B4-BE49-F238E27FC236}">
              <a16:creationId xmlns:a16="http://schemas.microsoft.com/office/drawing/2014/main" id="{8EE45E5E-96D4-DD54-1F66-952DB5539D32}"/>
            </a:ext>
          </a:extLst>
        </xdr:cNvPr>
        <xdr:cNvSpPr txBox="1"/>
      </xdr:nvSpPr>
      <xdr:spPr>
        <a:xfrm>
          <a:off x="13293634" y="2526114"/>
          <a:ext cx="32239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59</xdr:col>
      <xdr:colOff>23658</xdr:colOff>
      <xdr:row>14</xdr:row>
      <xdr:rowOff>12887</xdr:rowOff>
    </xdr:from>
    <xdr:to>
      <xdr:col>60</xdr:col>
      <xdr:colOff>103098</xdr:colOff>
      <xdr:row>14</xdr:row>
      <xdr:rowOff>12887</xdr:rowOff>
    </xdr:to>
    <xdr:cxnSp macro="">
      <xdr:nvCxnSpPr>
        <xdr:cNvPr id="280" name="直線コネクタ 279">
          <a:extLst>
            <a:ext uri="{FF2B5EF4-FFF2-40B4-BE49-F238E27FC236}">
              <a16:creationId xmlns:a16="http://schemas.microsoft.com/office/drawing/2014/main" id="{C33B04B6-9C91-4DDD-A0AE-5F31E02804DD}"/>
            </a:ext>
          </a:extLst>
        </xdr:cNvPr>
        <xdr:cNvCxnSpPr/>
      </xdr:nvCxnSpPr>
      <xdr:spPr>
        <a:xfrm flipH="1">
          <a:off x="13511058" y="3213287"/>
          <a:ext cx="308040" cy="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57</xdr:col>
      <xdr:colOff>116321</xdr:colOff>
      <xdr:row>13</xdr:row>
      <xdr:rowOff>221242</xdr:rowOff>
    </xdr:from>
    <xdr:ext cx="335220" cy="224998"/>
    <xdr:sp macro="" textlink="">
      <xdr:nvSpPr>
        <xdr:cNvPr id="298" name="テキスト ボックス 297">
          <a:extLst>
            <a:ext uri="{FF2B5EF4-FFF2-40B4-BE49-F238E27FC236}">
              <a16:creationId xmlns:a16="http://schemas.microsoft.com/office/drawing/2014/main" id="{39F64F96-5D78-B2EE-9B5D-525AB9A481EF}"/>
            </a:ext>
          </a:extLst>
        </xdr:cNvPr>
        <xdr:cNvSpPr txBox="1"/>
      </xdr:nvSpPr>
      <xdr:spPr>
        <a:xfrm>
          <a:off x="13146521" y="3193042"/>
          <a:ext cx="3352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59</xdr:col>
      <xdr:colOff>164787</xdr:colOff>
      <xdr:row>13</xdr:row>
      <xdr:rowOff>45864</xdr:rowOff>
    </xdr:from>
    <xdr:to>
      <xdr:col>61</xdr:col>
      <xdr:colOff>29647</xdr:colOff>
      <xdr:row>14</xdr:row>
      <xdr:rowOff>121114</xdr:rowOff>
    </xdr:to>
    <xdr:sp macro="" textlink="">
      <xdr:nvSpPr>
        <xdr:cNvPr id="299" name="円弧 298">
          <a:extLst>
            <a:ext uri="{FF2B5EF4-FFF2-40B4-BE49-F238E27FC236}">
              <a16:creationId xmlns:a16="http://schemas.microsoft.com/office/drawing/2014/main" id="{D6575344-5AC2-E534-854D-7331B00DFEB1}"/>
            </a:ext>
          </a:extLst>
        </xdr:cNvPr>
        <xdr:cNvSpPr/>
      </xdr:nvSpPr>
      <xdr:spPr>
        <a:xfrm>
          <a:off x="13652187" y="3017664"/>
          <a:ext cx="322060" cy="303850"/>
        </a:xfrm>
        <a:prstGeom prst="arc">
          <a:avLst>
            <a:gd name="adj1" fmla="val 12510240"/>
            <a:gd name="adj2" fmla="val 84120"/>
          </a:avLst>
        </a:prstGeom>
        <a:noFill/>
        <a:ln w="25400">
          <a:solidFill>
            <a:schemeClr val="tx1"/>
          </a:solidFill>
          <a:headEnd type="none" w="sm" len="sm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56</xdr:col>
      <xdr:colOff>220252</xdr:colOff>
      <xdr:row>12</xdr:row>
      <xdr:rowOff>99183</xdr:rowOff>
    </xdr:from>
    <xdr:ext cx="319255" cy="224998"/>
    <xdr:sp macro="" textlink="">
      <xdr:nvSpPr>
        <xdr:cNvPr id="303" name="テキスト ボックス 302">
          <a:extLst>
            <a:ext uri="{FF2B5EF4-FFF2-40B4-BE49-F238E27FC236}">
              <a16:creationId xmlns:a16="http://schemas.microsoft.com/office/drawing/2014/main" id="{D8287E5A-E8DC-CC49-F107-2E52AB410254}"/>
            </a:ext>
          </a:extLst>
        </xdr:cNvPr>
        <xdr:cNvSpPr txBox="1"/>
      </xdr:nvSpPr>
      <xdr:spPr>
        <a:xfrm>
          <a:off x="13021852" y="2842383"/>
          <a:ext cx="31925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M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128954</xdr:colOff>
      <xdr:row>8</xdr:row>
      <xdr:rowOff>76672</xdr:rowOff>
    </xdr:from>
    <xdr:to>
      <xdr:col>61</xdr:col>
      <xdr:colOff>211008</xdr:colOff>
      <xdr:row>8</xdr:row>
      <xdr:rowOff>76672</xdr:rowOff>
    </xdr:to>
    <xdr:cxnSp macro="">
      <xdr:nvCxnSpPr>
        <xdr:cNvPr id="304" name="直線コネクタ 303">
          <a:extLst>
            <a:ext uri="{FF2B5EF4-FFF2-40B4-BE49-F238E27FC236}">
              <a16:creationId xmlns:a16="http://schemas.microsoft.com/office/drawing/2014/main" id="{CD10387D-AC96-964D-D324-A2A0C42D8CAF}"/>
            </a:ext>
          </a:extLst>
        </xdr:cNvPr>
        <xdr:cNvCxnSpPr/>
      </xdr:nvCxnSpPr>
      <xdr:spPr>
        <a:xfrm>
          <a:off x="13844954" y="1905472"/>
          <a:ext cx="310654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127329</xdr:colOff>
      <xdr:row>8</xdr:row>
      <xdr:rowOff>44777</xdr:rowOff>
    </xdr:from>
    <xdr:to>
      <xdr:col>60</xdr:col>
      <xdr:colOff>127329</xdr:colOff>
      <xdr:row>10</xdr:row>
      <xdr:rowOff>120423</xdr:rowOff>
    </xdr:to>
    <xdr:cxnSp macro="">
      <xdr:nvCxnSpPr>
        <xdr:cNvPr id="305" name="直線コネクタ 304">
          <a:extLst>
            <a:ext uri="{FF2B5EF4-FFF2-40B4-BE49-F238E27FC236}">
              <a16:creationId xmlns:a16="http://schemas.microsoft.com/office/drawing/2014/main" id="{DE4FB18C-7E62-50F0-6C8B-117CA84B1DFC}"/>
            </a:ext>
          </a:extLst>
        </xdr:cNvPr>
        <xdr:cNvCxnSpPr/>
      </xdr:nvCxnSpPr>
      <xdr:spPr>
        <a:xfrm>
          <a:off x="13843329" y="1873577"/>
          <a:ext cx="0" cy="532846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216210</xdr:colOff>
      <xdr:row>8</xdr:row>
      <xdr:rowOff>46879</xdr:rowOff>
    </xdr:from>
    <xdr:to>
      <xdr:col>61</xdr:col>
      <xdr:colOff>216210</xdr:colOff>
      <xdr:row>13</xdr:row>
      <xdr:rowOff>52741</xdr:rowOff>
    </xdr:to>
    <xdr:cxnSp macro="">
      <xdr:nvCxnSpPr>
        <xdr:cNvPr id="306" name="直線コネクタ 305">
          <a:extLst>
            <a:ext uri="{FF2B5EF4-FFF2-40B4-BE49-F238E27FC236}">
              <a16:creationId xmlns:a16="http://schemas.microsoft.com/office/drawing/2014/main" id="{2A054B34-5690-5111-70B5-C6ED5877ECAC}"/>
            </a:ext>
          </a:extLst>
        </xdr:cNvPr>
        <xdr:cNvCxnSpPr/>
      </xdr:nvCxnSpPr>
      <xdr:spPr>
        <a:xfrm>
          <a:off x="14160810" y="1875679"/>
          <a:ext cx="0" cy="114886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59</xdr:col>
      <xdr:colOff>124254</xdr:colOff>
      <xdr:row>7</xdr:row>
      <xdr:rowOff>83210</xdr:rowOff>
    </xdr:from>
    <xdr:ext cx="336311" cy="224998"/>
    <xdr:sp macro="" textlink="">
      <xdr:nvSpPr>
        <xdr:cNvPr id="310" name="テキスト ボックス 309">
          <a:extLst>
            <a:ext uri="{FF2B5EF4-FFF2-40B4-BE49-F238E27FC236}">
              <a16:creationId xmlns:a16="http://schemas.microsoft.com/office/drawing/2014/main" id="{79F0CA21-C64F-13E5-974D-D2CC8C36C04C}"/>
            </a:ext>
          </a:extLst>
        </xdr:cNvPr>
        <xdr:cNvSpPr txBox="1"/>
      </xdr:nvSpPr>
      <xdr:spPr>
        <a:xfrm>
          <a:off x="13611654" y="1683410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d </a:t>
          </a:r>
          <a:r>
            <a:rPr kumimoji="1" lang="en-US" altLang="ja-JP" sz="900" i="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 i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61</xdr:col>
      <xdr:colOff>101307</xdr:colOff>
      <xdr:row>9</xdr:row>
      <xdr:rowOff>70326</xdr:rowOff>
    </xdr:from>
    <xdr:to>
      <xdr:col>61</xdr:col>
      <xdr:colOff>101307</xdr:colOff>
      <xdr:row>13</xdr:row>
      <xdr:rowOff>158249</xdr:rowOff>
    </xdr:to>
    <xdr:cxnSp macro="">
      <xdr:nvCxnSpPr>
        <xdr:cNvPr id="311" name="直線コネクタ 310">
          <a:extLst>
            <a:ext uri="{FF2B5EF4-FFF2-40B4-BE49-F238E27FC236}">
              <a16:creationId xmlns:a16="http://schemas.microsoft.com/office/drawing/2014/main" id="{CE3F2102-34BD-22C0-4BBC-9163D8EE472D}"/>
            </a:ext>
          </a:extLst>
        </xdr:cNvPr>
        <xdr:cNvCxnSpPr/>
      </xdr:nvCxnSpPr>
      <xdr:spPr>
        <a:xfrm>
          <a:off x="14045907" y="2127726"/>
          <a:ext cx="0" cy="100232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125376</xdr:colOff>
      <xdr:row>9</xdr:row>
      <xdr:rowOff>148389</xdr:rowOff>
    </xdr:from>
    <xdr:to>
      <xdr:col>61</xdr:col>
      <xdr:colOff>99646</xdr:colOff>
      <xdr:row>9</xdr:row>
      <xdr:rowOff>148389</xdr:rowOff>
    </xdr:to>
    <xdr:cxnSp macro="">
      <xdr:nvCxnSpPr>
        <xdr:cNvPr id="313" name="直線コネクタ 312">
          <a:extLst>
            <a:ext uri="{FF2B5EF4-FFF2-40B4-BE49-F238E27FC236}">
              <a16:creationId xmlns:a16="http://schemas.microsoft.com/office/drawing/2014/main" id="{CB6111DB-B3E6-387D-21E7-9E2E7487DCEC}"/>
            </a:ext>
          </a:extLst>
        </xdr:cNvPr>
        <xdr:cNvCxnSpPr/>
      </xdr:nvCxnSpPr>
      <xdr:spPr>
        <a:xfrm>
          <a:off x="13841376" y="2205789"/>
          <a:ext cx="202870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59</xdr:col>
      <xdr:colOff>118218</xdr:colOff>
      <xdr:row>8</xdr:row>
      <xdr:rowOff>89069</xdr:rowOff>
    </xdr:from>
    <xdr:ext cx="638573" cy="285527"/>
    <xdr:sp macro="" textlink="">
      <xdr:nvSpPr>
        <xdr:cNvPr id="315" name="テキスト ボックス 314">
          <a:extLst>
            <a:ext uri="{FF2B5EF4-FFF2-40B4-BE49-F238E27FC236}">
              <a16:creationId xmlns:a16="http://schemas.microsoft.com/office/drawing/2014/main" id="{6F11489B-561F-F856-F082-5C674F08C3DD}"/>
            </a:ext>
          </a:extLst>
        </xdr:cNvPr>
        <xdr:cNvSpPr txBox="1"/>
      </xdr:nvSpPr>
      <xdr:spPr>
        <a:xfrm>
          <a:off x="13605618" y="1917869"/>
          <a:ext cx="638573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d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=κ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d</a:t>
          </a:r>
          <a:r>
            <a:rPr kumimoji="1" lang="ja-JP" altLang="en-US" sz="900" i="1">
              <a:latin typeface="Times New Roman" panose="02020603050405020304" pitchFamily="18" charset="0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58</xdr:col>
      <xdr:colOff>201700</xdr:colOff>
      <xdr:row>11</xdr:row>
      <xdr:rowOff>10789</xdr:rowOff>
    </xdr:from>
    <xdr:ext cx="249748" cy="224998"/>
    <xdr:sp macro="" textlink="">
      <xdr:nvSpPr>
        <xdr:cNvPr id="319" name="テキスト ボックス 318">
          <a:extLst>
            <a:ext uri="{FF2B5EF4-FFF2-40B4-BE49-F238E27FC236}">
              <a16:creationId xmlns:a16="http://schemas.microsoft.com/office/drawing/2014/main" id="{38CD6112-DBCC-E4B8-353D-5F28A753A162}"/>
            </a:ext>
          </a:extLst>
        </xdr:cNvPr>
        <xdr:cNvSpPr txBox="1"/>
      </xdr:nvSpPr>
      <xdr:spPr>
        <a:xfrm>
          <a:off x="13460500" y="2525389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58</xdr:col>
      <xdr:colOff>81718</xdr:colOff>
      <xdr:row>13</xdr:row>
      <xdr:rowOff>212495</xdr:rowOff>
    </xdr:from>
    <xdr:ext cx="249748" cy="224998"/>
    <xdr:sp macro="" textlink="">
      <xdr:nvSpPr>
        <xdr:cNvPr id="320" name="テキスト ボックス 319">
          <a:extLst>
            <a:ext uri="{FF2B5EF4-FFF2-40B4-BE49-F238E27FC236}">
              <a16:creationId xmlns:a16="http://schemas.microsoft.com/office/drawing/2014/main" id="{5CE42CDE-7073-309D-2CB9-FC0AB65B90CE}"/>
            </a:ext>
          </a:extLst>
        </xdr:cNvPr>
        <xdr:cNvSpPr txBox="1"/>
      </xdr:nvSpPr>
      <xdr:spPr>
        <a:xfrm>
          <a:off x="13340518" y="3184295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57</xdr:col>
      <xdr:colOff>161365</xdr:colOff>
      <xdr:row>12</xdr:row>
      <xdr:rowOff>118365</xdr:rowOff>
    </xdr:from>
    <xdr:ext cx="249748" cy="224998"/>
    <xdr:sp macro="" textlink="">
      <xdr:nvSpPr>
        <xdr:cNvPr id="321" name="テキスト ボックス 320">
          <a:extLst>
            <a:ext uri="{FF2B5EF4-FFF2-40B4-BE49-F238E27FC236}">
              <a16:creationId xmlns:a16="http://schemas.microsoft.com/office/drawing/2014/main" id="{331BFEB3-E2D4-7188-2923-2CFB206BC5D3}"/>
            </a:ext>
          </a:extLst>
        </xdr:cNvPr>
        <xdr:cNvSpPr txBox="1"/>
      </xdr:nvSpPr>
      <xdr:spPr>
        <a:xfrm>
          <a:off x="13191565" y="2861565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10165</xdr:colOff>
      <xdr:row>20</xdr:row>
      <xdr:rowOff>222864</xdr:rowOff>
    </xdr:from>
    <xdr:ext cx="559769" cy="224998"/>
    <xdr:sp macro="" textlink="$J$15">
      <xdr:nvSpPr>
        <xdr:cNvPr id="3" name="テキスト ボックス 2">
          <a:extLst>
            <a:ext uri="{FF2B5EF4-FFF2-40B4-BE49-F238E27FC236}">
              <a16:creationId xmlns:a16="http://schemas.microsoft.com/office/drawing/2014/main" id="{3D72A28B-4146-EABB-9481-D4BD08821BB8}"/>
            </a:ext>
          </a:extLst>
        </xdr:cNvPr>
        <xdr:cNvSpPr txBox="1"/>
      </xdr:nvSpPr>
      <xdr:spPr>
        <a:xfrm>
          <a:off x="6118071" y="5497333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BAC5C32-1F15-425F-A950-A0C82080307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157.006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211546</xdr:colOff>
      <xdr:row>23</xdr:row>
      <xdr:rowOff>203035</xdr:rowOff>
    </xdr:from>
    <xdr:ext cx="502061" cy="224998"/>
    <xdr:sp macro="" textlink="$M$15">
      <xdr:nvSpPr>
        <xdr:cNvPr id="5" name="テキスト ボックス 4">
          <a:extLst>
            <a:ext uri="{FF2B5EF4-FFF2-40B4-BE49-F238E27FC236}">
              <a16:creationId xmlns:a16="http://schemas.microsoft.com/office/drawing/2014/main" id="{08196033-8EE0-AF31-5690-DEB385938219}"/>
            </a:ext>
          </a:extLst>
        </xdr:cNvPr>
        <xdr:cNvSpPr txBox="1"/>
      </xdr:nvSpPr>
      <xdr:spPr>
        <a:xfrm>
          <a:off x="6771890" y="6191879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4CADACA-3AC7-45F6-9BB8-A77672F6B07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48.421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27</xdr:col>
      <xdr:colOff>46546</xdr:colOff>
      <xdr:row>26</xdr:row>
      <xdr:rowOff>232180</xdr:rowOff>
    </xdr:from>
    <xdr:ext cx="444352" cy="224998"/>
    <xdr:sp macro="" textlink="$H$22">
      <xdr:nvSpPr>
        <xdr:cNvPr id="8" name="テキスト ボックス 7">
          <a:extLst>
            <a:ext uri="{FF2B5EF4-FFF2-40B4-BE49-F238E27FC236}">
              <a16:creationId xmlns:a16="http://schemas.microsoft.com/office/drawing/2014/main" id="{160F371E-D790-8AFE-3F68-CDE7F165B9CA}"/>
            </a:ext>
          </a:extLst>
        </xdr:cNvPr>
        <xdr:cNvSpPr txBox="1"/>
      </xdr:nvSpPr>
      <xdr:spPr>
        <a:xfrm>
          <a:off x="6154452" y="693539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975BCD8-BDE4-46B0-851E-26F9FFDEF22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63</xdr:col>
      <xdr:colOff>128913</xdr:colOff>
      <xdr:row>2</xdr:row>
      <xdr:rowOff>220709</xdr:rowOff>
    </xdr:from>
    <xdr:ext cx="444352" cy="224998"/>
    <xdr:sp macro="" textlink="'1.設計条件'!T7">
      <xdr:nvSpPr>
        <xdr:cNvPr id="9" name="テキスト ボックス 8">
          <a:extLst>
            <a:ext uri="{FF2B5EF4-FFF2-40B4-BE49-F238E27FC236}">
              <a16:creationId xmlns:a16="http://schemas.microsoft.com/office/drawing/2014/main" id="{06CDEEBB-2DAF-6F2E-8ED9-6C154C48F6E8}"/>
            </a:ext>
          </a:extLst>
        </xdr:cNvPr>
        <xdr:cNvSpPr txBox="1"/>
      </xdr:nvSpPr>
      <xdr:spPr>
        <a:xfrm>
          <a:off x="14530713" y="67790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57</xdr:col>
      <xdr:colOff>115023</xdr:colOff>
      <xdr:row>7</xdr:row>
      <xdr:rowOff>121853</xdr:rowOff>
    </xdr:from>
    <xdr:ext cx="224998" cy="444352"/>
    <xdr:sp macro="" textlink="'1.設計条件'!T5">
      <xdr:nvSpPr>
        <xdr:cNvPr id="10" name="テキスト ボックス 9">
          <a:extLst>
            <a:ext uri="{FF2B5EF4-FFF2-40B4-BE49-F238E27FC236}">
              <a16:creationId xmlns:a16="http://schemas.microsoft.com/office/drawing/2014/main" id="{1C39DE6D-A952-C045-984F-3E8F562D1391}"/>
            </a:ext>
          </a:extLst>
        </xdr:cNvPr>
        <xdr:cNvSpPr txBox="1"/>
      </xdr:nvSpPr>
      <xdr:spPr>
        <a:xfrm rot="16200000">
          <a:off x="13035546" y="183173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1211461-6664-4F5C-9342-8CFF28976A0E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60</xdr:col>
      <xdr:colOff>75292</xdr:colOff>
      <xdr:row>7</xdr:row>
      <xdr:rowOff>80107</xdr:rowOff>
    </xdr:from>
    <xdr:ext cx="444352" cy="224998"/>
    <xdr:sp macro="" textlink="$W$19">
      <xdr:nvSpPr>
        <xdr:cNvPr id="11" name="テキスト ボックス 10">
          <a:extLst>
            <a:ext uri="{FF2B5EF4-FFF2-40B4-BE49-F238E27FC236}">
              <a16:creationId xmlns:a16="http://schemas.microsoft.com/office/drawing/2014/main" id="{581D2063-96C9-77F8-ABF3-D852C17FB046}"/>
            </a:ext>
          </a:extLst>
        </xdr:cNvPr>
        <xdr:cNvSpPr txBox="1"/>
      </xdr:nvSpPr>
      <xdr:spPr>
        <a:xfrm>
          <a:off x="13791292" y="168030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13D3674-B03A-49AF-BA03-4199FC906D84}" type="TxLink">
            <a:rPr kumimoji="1" lang="en-US" altLang="en-US" sz="900" b="0" i="0" u="none" strike="noStrike">
              <a:solidFill>
                <a:sysClr val="windowText" lastClr="000000"/>
              </a:solidFill>
              <a:latin typeface="Times New Roman"/>
              <a:cs typeface="Times New Roman"/>
            </a:rPr>
            <a:pPr/>
            <a:t>1.117</a:t>
          </a:fld>
          <a:endParaRPr kumimoji="1" lang="ja-JP" altLang="en-US" sz="900" i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59</xdr:col>
      <xdr:colOff>54815</xdr:colOff>
      <xdr:row>11</xdr:row>
      <xdr:rowOff>10788</xdr:rowOff>
    </xdr:from>
    <xdr:ext cx="559769" cy="224998"/>
    <xdr:sp macro="" textlink="$J$15">
      <xdr:nvSpPr>
        <xdr:cNvPr id="12" name="テキスト ボックス 11">
          <a:extLst>
            <a:ext uri="{FF2B5EF4-FFF2-40B4-BE49-F238E27FC236}">
              <a16:creationId xmlns:a16="http://schemas.microsoft.com/office/drawing/2014/main" id="{67AF9506-1D2A-53C3-E8FC-A04CF46E4448}"/>
            </a:ext>
          </a:extLst>
        </xdr:cNvPr>
        <xdr:cNvSpPr txBox="1"/>
      </xdr:nvSpPr>
      <xdr:spPr>
        <a:xfrm>
          <a:off x="13542215" y="2525388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AAADAEB-CB8E-4548-B7B6-80F214B59E72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157.006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58</xdr:col>
      <xdr:colOff>125507</xdr:colOff>
      <xdr:row>12</xdr:row>
      <xdr:rowOff>109400</xdr:rowOff>
    </xdr:from>
    <xdr:ext cx="559769" cy="224998"/>
    <xdr:sp macro="" textlink="$BG$19">
      <xdr:nvSpPr>
        <xdr:cNvPr id="13" name="テキスト ボックス 12">
          <a:extLst>
            <a:ext uri="{FF2B5EF4-FFF2-40B4-BE49-F238E27FC236}">
              <a16:creationId xmlns:a16="http://schemas.microsoft.com/office/drawing/2014/main" id="{A41E82CE-B7CD-A123-E8EF-33F055909D91}"/>
            </a:ext>
          </a:extLst>
        </xdr:cNvPr>
        <xdr:cNvSpPr txBox="1"/>
      </xdr:nvSpPr>
      <xdr:spPr>
        <a:xfrm>
          <a:off x="13384307" y="2852600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49A3178-7A38-4F1D-A797-04FF7926668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175.429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58</xdr:col>
      <xdr:colOff>198259</xdr:colOff>
      <xdr:row>13</xdr:row>
      <xdr:rowOff>221460</xdr:rowOff>
    </xdr:from>
    <xdr:ext cx="502061" cy="224998"/>
    <xdr:sp macro="" textlink="$M$15">
      <xdr:nvSpPr>
        <xdr:cNvPr id="15" name="テキスト ボックス 14">
          <a:extLst>
            <a:ext uri="{FF2B5EF4-FFF2-40B4-BE49-F238E27FC236}">
              <a16:creationId xmlns:a16="http://schemas.microsoft.com/office/drawing/2014/main" id="{89D40A0A-251F-FA95-241F-8207CD2E3636}"/>
            </a:ext>
          </a:extLst>
        </xdr:cNvPr>
        <xdr:cNvSpPr txBox="1"/>
      </xdr:nvSpPr>
      <xdr:spPr>
        <a:xfrm>
          <a:off x="13457059" y="3193260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61F9077-237B-40D8-AF15-C8058DE47E1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48.421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61</xdr:col>
      <xdr:colOff>65447</xdr:colOff>
      <xdr:row>17</xdr:row>
      <xdr:rowOff>40816</xdr:rowOff>
    </xdr:from>
    <xdr:ext cx="444352" cy="224998"/>
    <xdr:sp macro="" textlink="$H$22">
      <xdr:nvSpPr>
        <xdr:cNvPr id="16" name="テキスト ボックス 15">
          <a:extLst>
            <a:ext uri="{FF2B5EF4-FFF2-40B4-BE49-F238E27FC236}">
              <a16:creationId xmlns:a16="http://schemas.microsoft.com/office/drawing/2014/main" id="{3B971D40-D7AB-844F-364C-02B8A3A226F0}"/>
            </a:ext>
          </a:extLst>
        </xdr:cNvPr>
        <xdr:cNvSpPr txBox="1"/>
      </xdr:nvSpPr>
      <xdr:spPr>
        <a:xfrm>
          <a:off x="14010047" y="392701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FA56F37-4A2A-4A10-90D4-0599EE04117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22</xdr:col>
      <xdr:colOff>212912</xdr:colOff>
      <xdr:row>22</xdr:row>
      <xdr:rowOff>232337</xdr:rowOff>
    </xdr:from>
    <xdr:to>
      <xdr:col>31</xdr:col>
      <xdr:colOff>179294</xdr:colOff>
      <xdr:row>24</xdr:row>
      <xdr:rowOff>169431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6D96F5FE-AAD6-E8B5-2146-65357A9E85CF}"/>
            </a:ext>
          </a:extLst>
        </xdr:cNvPr>
        <xdr:cNvSpPr/>
      </xdr:nvSpPr>
      <xdr:spPr>
        <a:xfrm>
          <a:off x="5189725" y="5983056"/>
          <a:ext cx="2002350" cy="413344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23</xdr:col>
      <xdr:colOff>185173</xdr:colOff>
      <xdr:row>20</xdr:row>
      <xdr:rowOff>92007</xdr:rowOff>
    </xdr:from>
    <xdr:to>
      <xdr:col>24</xdr:col>
      <xdr:colOff>138603</xdr:colOff>
      <xdr:row>23</xdr:row>
      <xdr:rowOff>436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AB263E1A-4372-4206-FBB1-F57F3F053073}"/>
            </a:ext>
          </a:extLst>
        </xdr:cNvPr>
        <xdr:cNvCxnSpPr/>
      </xdr:nvCxnSpPr>
      <xdr:spPr>
        <a:xfrm flipV="1">
          <a:off x="5388204" y="5366476"/>
          <a:ext cx="179649" cy="61997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28289</xdr:colOff>
      <xdr:row>20</xdr:row>
      <xdr:rowOff>92007</xdr:rowOff>
    </xdr:from>
    <xdr:to>
      <xdr:col>29</xdr:col>
      <xdr:colOff>206216</xdr:colOff>
      <xdr:row>23</xdr:row>
      <xdr:rowOff>436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4D044083-7940-1837-3939-7CF2D43F6F44}"/>
            </a:ext>
          </a:extLst>
        </xdr:cNvPr>
        <xdr:cNvCxnSpPr/>
      </xdr:nvCxnSpPr>
      <xdr:spPr>
        <a:xfrm flipV="1">
          <a:off x="6588633" y="5366476"/>
          <a:ext cx="177927" cy="61997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99127</xdr:colOff>
      <xdr:row>4</xdr:row>
      <xdr:rowOff>133935</xdr:rowOff>
    </xdr:from>
    <xdr:to>
      <xdr:col>65</xdr:col>
      <xdr:colOff>33572</xdr:colOff>
      <xdr:row>4</xdr:row>
      <xdr:rowOff>133935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909E22B6-FCF1-44C6-BBD1-03E3080DA513}"/>
            </a:ext>
          </a:extLst>
        </xdr:cNvPr>
        <xdr:cNvCxnSpPr/>
      </xdr:nvCxnSpPr>
      <xdr:spPr>
        <a:xfrm>
          <a:off x="14500927" y="1048335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194634</xdr:colOff>
      <xdr:row>4</xdr:row>
      <xdr:rowOff>130431</xdr:rowOff>
    </xdr:from>
    <xdr:to>
      <xdr:col>63</xdr:col>
      <xdr:colOff>98360</xdr:colOff>
      <xdr:row>13</xdr:row>
      <xdr:rowOff>132366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17F0C741-CE97-477D-A4C9-2946C5E86B5A}"/>
            </a:ext>
          </a:extLst>
        </xdr:cNvPr>
        <xdr:cNvCxnSpPr/>
      </xdr:nvCxnSpPr>
      <xdr:spPr>
        <a:xfrm flipH="1">
          <a:off x="13910634" y="1044831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152486</xdr:colOff>
      <xdr:row>13</xdr:row>
      <xdr:rowOff>136720</xdr:rowOff>
    </xdr:from>
    <xdr:to>
      <xdr:col>62</xdr:col>
      <xdr:colOff>158932</xdr:colOff>
      <xdr:row>14</xdr:row>
      <xdr:rowOff>16120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4E3108C2-EC5C-4BA5-9B39-48F344C47DCC}"/>
            </a:ext>
          </a:extLst>
        </xdr:cNvPr>
        <xdr:cNvSpPr/>
      </xdr:nvSpPr>
      <xdr:spPr>
        <a:xfrm>
          <a:off x="13868486" y="3108520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62</xdr:col>
      <xdr:colOff>38723</xdr:colOff>
      <xdr:row>5</xdr:row>
      <xdr:rowOff>28808</xdr:rowOff>
    </xdr:from>
    <xdr:to>
      <xdr:col>64</xdr:col>
      <xdr:colOff>136862</xdr:colOff>
      <xdr:row>13</xdr:row>
      <xdr:rowOff>132775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640486D4-39E9-470B-BAA7-7C50030C4578}"/>
            </a:ext>
          </a:extLst>
        </xdr:cNvPr>
        <xdr:cNvCxnSpPr/>
      </xdr:nvCxnSpPr>
      <xdr:spPr>
        <a:xfrm flipH="1">
          <a:off x="14211923" y="1171808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68645</xdr:colOff>
      <xdr:row>12</xdr:row>
      <xdr:rowOff>9838</xdr:rowOff>
    </xdr:from>
    <xdr:to>
      <xdr:col>62</xdr:col>
      <xdr:colOff>143779</xdr:colOff>
      <xdr:row>12</xdr:row>
      <xdr:rowOff>9838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E2A2860B-8CE9-4C8A-BC81-08977D6F779D}"/>
            </a:ext>
          </a:extLst>
        </xdr:cNvPr>
        <xdr:cNvCxnSpPr/>
      </xdr:nvCxnSpPr>
      <xdr:spPr>
        <a:xfrm>
          <a:off x="14013245" y="2753038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168794</xdr:colOff>
      <xdr:row>10</xdr:row>
      <xdr:rowOff>125226</xdr:rowOff>
    </xdr:from>
    <xdr:to>
      <xdr:col>63</xdr:col>
      <xdr:colOff>13151</xdr:colOff>
      <xdr:row>10</xdr:row>
      <xdr:rowOff>125226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833EB77B-8F49-496D-B642-DAEB72F45249}"/>
            </a:ext>
          </a:extLst>
        </xdr:cNvPr>
        <xdr:cNvCxnSpPr/>
      </xdr:nvCxnSpPr>
      <xdr:spPr>
        <a:xfrm>
          <a:off x="14113394" y="2411226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33811</xdr:colOff>
      <xdr:row>9</xdr:row>
      <xdr:rowOff>5484</xdr:rowOff>
    </xdr:from>
    <xdr:to>
      <xdr:col>63</xdr:col>
      <xdr:colOff>108945</xdr:colOff>
      <xdr:row>9</xdr:row>
      <xdr:rowOff>5484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5F71D3F8-7D55-4B02-A401-5CF05B392DB9}"/>
            </a:ext>
          </a:extLst>
        </xdr:cNvPr>
        <xdr:cNvCxnSpPr/>
      </xdr:nvCxnSpPr>
      <xdr:spPr>
        <a:xfrm>
          <a:off x="14207011" y="2062884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138314</xdr:colOff>
      <xdr:row>7</xdr:row>
      <xdr:rowOff>109986</xdr:rowOff>
    </xdr:from>
    <xdr:to>
      <xdr:col>63</xdr:col>
      <xdr:colOff>219798</xdr:colOff>
      <xdr:row>7</xdr:row>
      <xdr:rowOff>109986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88895A68-7E8A-4C0F-BA32-0762412AAB58}"/>
            </a:ext>
          </a:extLst>
        </xdr:cNvPr>
        <xdr:cNvCxnSpPr/>
      </xdr:nvCxnSpPr>
      <xdr:spPr>
        <a:xfrm>
          <a:off x="14311514" y="1710186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16394</xdr:colOff>
      <xdr:row>5</xdr:row>
      <xdr:rowOff>221020</xdr:rowOff>
    </xdr:from>
    <xdr:to>
      <xdr:col>64</xdr:col>
      <xdr:colOff>91528</xdr:colOff>
      <xdr:row>5</xdr:row>
      <xdr:rowOff>221020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88D72A10-B66D-43A2-B48F-4FD38E8FD1B8}"/>
            </a:ext>
          </a:extLst>
        </xdr:cNvPr>
        <xdr:cNvCxnSpPr/>
      </xdr:nvCxnSpPr>
      <xdr:spPr>
        <a:xfrm>
          <a:off x="14418194" y="1364020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55174</xdr:colOff>
      <xdr:row>5</xdr:row>
      <xdr:rowOff>23309</xdr:rowOff>
    </xdr:from>
    <xdr:to>
      <xdr:col>65</xdr:col>
      <xdr:colOff>6075</xdr:colOff>
      <xdr:row>5</xdr:row>
      <xdr:rowOff>23309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409AD259-B795-4C10-A2ED-02BB9068D917}"/>
            </a:ext>
          </a:extLst>
        </xdr:cNvPr>
        <xdr:cNvCxnSpPr/>
      </xdr:nvCxnSpPr>
      <xdr:spPr>
        <a:xfrm>
          <a:off x="14456974" y="1166309"/>
          <a:ext cx="40810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95368</xdr:colOff>
      <xdr:row>15</xdr:row>
      <xdr:rowOff>198527</xdr:rowOff>
    </xdr:from>
    <xdr:to>
      <xdr:col>26</xdr:col>
      <xdr:colOff>219310</xdr:colOff>
      <xdr:row>20</xdr:row>
      <xdr:rowOff>88790</xdr:rowOff>
    </xdr:to>
    <xdr:sp macro="" textlink="">
      <xdr:nvSpPr>
        <xdr:cNvPr id="121" name="二等辺三角形 120">
          <a:extLst>
            <a:ext uri="{FF2B5EF4-FFF2-40B4-BE49-F238E27FC236}">
              <a16:creationId xmlns:a16="http://schemas.microsoft.com/office/drawing/2014/main" id="{85568703-DF60-A518-E1D2-CFB2BE191D1A}"/>
            </a:ext>
          </a:extLst>
        </xdr:cNvPr>
        <xdr:cNvSpPr/>
      </xdr:nvSpPr>
      <xdr:spPr>
        <a:xfrm rot="6373851">
          <a:off x="5584307" y="3853588"/>
          <a:ext cx="1033263" cy="123942"/>
        </a:xfrm>
        <a:prstGeom prst="triangle">
          <a:avLst>
            <a:gd name="adj" fmla="val 96246"/>
          </a:avLst>
        </a:prstGeom>
        <a:solidFill>
          <a:srgbClr val="FFCCFF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24</xdr:col>
      <xdr:colOff>71605</xdr:colOff>
      <xdr:row>15</xdr:row>
      <xdr:rowOff>201169</xdr:rowOff>
    </xdr:from>
    <xdr:to>
      <xdr:col>32</xdr:col>
      <xdr:colOff>209235</xdr:colOff>
      <xdr:row>25</xdr:row>
      <xdr:rowOff>56590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A136740-42DC-4418-91B9-96E1A2B535BB}"/>
            </a:ext>
          </a:extLst>
        </xdr:cNvPr>
        <xdr:cNvCxnSpPr/>
      </xdr:nvCxnSpPr>
      <xdr:spPr>
        <a:xfrm flipV="1">
          <a:off x="5558005" y="3401569"/>
          <a:ext cx="1966430" cy="2141421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24</xdr:col>
      <xdr:colOff>130178</xdr:colOff>
      <xdr:row>17</xdr:row>
      <xdr:rowOff>74063</xdr:rowOff>
    </xdr:from>
    <xdr:ext cx="324576" cy="224998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E2CF3F3-7275-4544-ABFF-66560A05A123}"/>
            </a:ext>
          </a:extLst>
        </xdr:cNvPr>
        <xdr:cNvSpPr txBox="1"/>
      </xdr:nvSpPr>
      <xdr:spPr>
        <a:xfrm>
          <a:off x="5616578" y="3731663"/>
          <a:ext cx="32457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r>
            <a:rPr kumimoji="1" lang="en-US" altLang="ja-JP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140486</xdr:colOff>
      <xdr:row>14</xdr:row>
      <xdr:rowOff>70784</xdr:rowOff>
    </xdr:from>
    <xdr:ext cx="349135" cy="224998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57CF322-3D59-428E-8E1E-9856FFC80C88}"/>
            </a:ext>
          </a:extLst>
        </xdr:cNvPr>
        <xdr:cNvSpPr txBox="1"/>
      </xdr:nvSpPr>
      <xdr:spPr>
        <a:xfrm>
          <a:off x="6769886" y="3042584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138054</xdr:colOff>
      <xdr:row>20</xdr:row>
      <xdr:rowOff>131481</xdr:rowOff>
    </xdr:from>
    <xdr:ext cx="386644" cy="224998"/>
    <xdr:sp macro="" textlink="'2.土圧'!O21">
      <xdr:nvSpPr>
        <xdr:cNvPr id="5" name="テキスト ボックス 4">
          <a:extLst>
            <a:ext uri="{FF2B5EF4-FFF2-40B4-BE49-F238E27FC236}">
              <a16:creationId xmlns:a16="http://schemas.microsoft.com/office/drawing/2014/main" id="{5305994F-366C-402E-BADE-0637DA0350AF}"/>
            </a:ext>
          </a:extLst>
        </xdr:cNvPr>
        <xdr:cNvSpPr txBox="1"/>
      </xdr:nvSpPr>
      <xdr:spPr>
        <a:xfrm>
          <a:off x="5395854" y="4474881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4F3E3C7-3C9A-4953-9253-7A1F62914C0E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23.3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156922</xdr:colOff>
      <xdr:row>21</xdr:row>
      <xdr:rowOff>137387</xdr:rowOff>
    </xdr:from>
    <xdr:ext cx="249748" cy="224998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5FAD048-D6F7-4E24-ABEE-115347F15431}"/>
            </a:ext>
          </a:extLst>
        </xdr:cNvPr>
        <xdr:cNvSpPr txBox="1"/>
      </xdr:nvSpPr>
      <xdr:spPr>
        <a:xfrm>
          <a:off x="5414722" y="4709387"/>
          <a:ext cx="24974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198030</xdr:colOff>
      <xdr:row>17</xdr:row>
      <xdr:rowOff>63640</xdr:rowOff>
    </xdr:from>
    <xdr:ext cx="425053" cy="224998"/>
    <xdr:sp macro="" textlink="'2.土圧'!$Q$19">
      <xdr:nvSpPr>
        <xdr:cNvPr id="13" name="テキスト ボックス 12">
          <a:extLst>
            <a:ext uri="{FF2B5EF4-FFF2-40B4-BE49-F238E27FC236}">
              <a16:creationId xmlns:a16="http://schemas.microsoft.com/office/drawing/2014/main" id="{6D973CC4-76D3-4641-98AA-6663C9CE8A85}"/>
            </a:ext>
          </a:extLst>
        </xdr:cNvPr>
        <xdr:cNvSpPr txBox="1"/>
      </xdr:nvSpPr>
      <xdr:spPr>
        <a:xfrm>
          <a:off x="6141630" y="3721240"/>
          <a:ext cx="42505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DC5098F-7FD4-42DD-98CE-EDB3B0FB587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-21.8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114595</xdr:colOff>
      <xdr:row>14</xdr:row>
      <xdr:rowOff>72999</xdr:rowOff>
    </xdr:from>
    <xdr:ext cx="300082" cy="224998"/>
    <xdr:sp macro="" textlink="'1.設計条件'!T37">
      <xdr:nvSpPr>
        <xdr:cNvPr id="14" name="テキスト ボックス 13">
          <a:extLst>
            <a:ext uri="{FF2B5EF4-FFF2-40B4-BE49-F238E27FC236}">
              <a16:creationId xmlns:a16="http://schemas.microsoft.com/office/drawing/2014/main" id="{1053D487-2A10-4D47-85B9-6FEBD870BB79}"/>
            </a:ext>
          </a:extLst>
        </xdr:cNvPr>
        <xdr:cNvSpPr txBox="1"/>
      </xdr:nvSpPr>
      <xdr:spPr>
        <a:xfrm>
          <a:off x="6972595" y="3284285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621461F-1C90-4981-AE39-5CDE20866CF8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6541</xdr:colOff>
      <xdr:row>16</xdr:row>
      <xdr:rowOff>95277</xdr:rowOff>
    </xdr:from>
    <xdr:ext cx="559769" cy="224998"/>
    <xdr:sp macro="" textlink="'2.土圧'!$BM$9">
      <xdr:nvSpPr>
        <xdr:cNvPr id="15" name="テキスト ボックス 14">
          <a:extLst>
            <a:ext uri="{FF2B5EF4-FFF2-40B4-BE49-F238E27FC236}">
              <a16:creationId xmlns:a16="http://schemas.microsoft.com/office/drawing/2014/main" id="{62C70950-8B82-41DD-AE8A-C098860F33FC}"/>
            </a:ext>
          </a:extLst>
        </xdr:cNvPr>
        <xdr:cNvSpPr txBox="1"/>
      </xdr:nvSpPr>
      <xdr:spPr>
        <a:xfrm>
          <a:off x="6635941" y="3524277"/>
          <a:ext cx="55976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7A98983-B27A-4AA3-BEAF-B8D2E7C03A7F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182.005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143751</xdr:colOff>
      <xdr:row>13</xdr:row>
      <xdr:rowOff>25599</xdr:rowOff>
    </xdr:from>
    <xdr:ext cx="444352" cy="224998"/>
    <xdr:sp macro="" textlink="'2.土圧'!$BM$7">
      <xdr:nvSpPr>
        <xdr:cNvPr id="16" name="テキスト ボックス 15">
          <a:extLst>
            <a:ext uri="{FF2B5EF4-FFF2-40B4-BE49-F238E27FC236}">
              <a16:creationId xmlns:a16="http://schemas.microsoft.com/office/drawing/2014/main" id="{E4756EA0-5577-48DA-A983-BA39FAE11A1E}"/>
            </a:ext>
          </a:extLst>
        </xdr:cNvPr>
        <xdr:cNvSpPr txBox="1"/>
      </xdr:nvSpPr>
      <xdr:spPr>
        <a:xfrm>
          <a:off x="6773151" y="276879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424568F-C04E-4912-BF32-6DB7383870B1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2.679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63178</xdr:colOff>
      <xdr:row>24</xdr:row>
      <xdr:rowOff>32943</xdr:rowOff>
    </xdr:from>
    <xdr:ext cx="300082" cy="224998"/>
    <xdr:sp macro="" textlink="'2.土圧'!$BM$5">
      <xdr:nvSpPr>
        <xdr:cNvPr id="17" name="テキスト ボックス 16">
          <a:extLst>
            <a:ext uri="{FF2B5EF4-FFF2-40B4-BE49-F238E27FC236}">
              <a16:creationId xmlns:a16="http://schemas.microsoft.com/office/drawing/2014/main" id="{9425155F-DA2B-4AE4-AA48-A524220F2B48}"/>
            </a:ext>
          </a:extLst>
        </xdr:cNvPr>
        <xdr:cNvSpPr txBox="1"/>
      </xdr:nvSpPr>
      <xdr:spPr>
        <a:xfrm>
          <a:off x="6463978" y="5290743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23C836E-53FE-4A4B-AA94-5BBEB17A8931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50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15810</xdr:colOff>
      <xdr:row>18</xdr:row>
      <xdr:rowOff>36975</xdr:rowOff>
    </xdr:from>
    <xdr:to>
      <xdr:col>26</xdr:col>
      <xdr:colOff>48567</xdr:colOff>
      <xdr:row>18</xdr:row>
      <xdr:rowOff>36975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E40F133E-F8D5-4000-8ADF-8DE0233E5BF0}"/>
            </a:ext>
          </a:extLst>
        </xdr:cNvPr>
        <xdr:cNvCxnSpPr/>
      </xdr:nvCxnSpPr>
      <xdr:spPr>
        <a:xfrm>
          <a:off x="5502210" y="3923175"/>
          <a:ext cx="48995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227529</xdr:colOff>
      <xdr:row>18</xdr:row>
      <xdr:rowOff>5456</xdr:rowOff>
    </xdr:from>
    <xdr:to>
      <xdr:col>24</xdr:col>
      <xdr:colOff>3411</xdr:colOff>
      <xdr:row>18</xdr:row>
      <xdr:rowOff>192321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EC0180A9-8DC0-47A1-BD0A-290BCE39AAD1}"/>
            </a:ext>
          </a:extLst>
        </xdr:cNvPr>
        <xdr:cNvCxnSpPr/>
      </xdr:nvCxnSpPr>
      <xdr:spPr>
        <a:xfrm>
          <a:off x="5485329" y="3891656"/>
          <a:ext cx="0" cy="18686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86144</xdr:colOff>
      <xdr:row>18</xdr:row>
      <xdr:rowOff>221064</xdr:rowOff>
    </xdr:from>
    <xdr:to>
      <xdr:col>23</xdr:col>
      <xdr:colOff>86144</xdr:colOff>
      <xdr:row>20</xdr:row>
      <xdr:rowOff>33495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A718048E-143C-45BF-9C30-C6D4218D765F}"/>
            </a:ext>
          </a:extLst>
        </xdr:cNvPr>
        <xdr:cNvCxnSpPr/>
      </xdr:nvCxnSpPr>
      <xdr:spPr>
        <a:xfrm>
          <a:off x="5343944" y="4107264"/>
          <a:ext cx="0" cy="26963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80586</xdr:colOff>
      <xdr:row>18</xdr:row>
      <xdr:rowOff>188583</xdr:rowOff>
    </xdr:from>
    <xdr:ext cx="224998" cy="324576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B9B9B538-C76F-47B8-9FC4-E80BF1473185}"/>
            </a:ext>
          </a:extLst>
        </xdr:cNvPr>
        <xdr:cNvSpPr txBox="1"/>
      </xdr:nvSpPr>
      <xdr:spPr>
        <a:xfrm rot="16200000">
          <a:off x="5059997" y="4124572"/>
          <a:ext cx="32457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twoCellAnchor editAs="oneCell">
    <xdr:from>
      <xdr:col>23</xdr:col>
      <xdr:colOff>33084</xdr:colOff>
      <xdr:row>18</xdr:row>
      <xdr:rowOff>219022</xdr:rowOff>
    </xdr:from>
    <xdr:to>
      <xdr:col>23</xdr:col>
      <xdr:colOff>152333</xdr:colOff>
      <xdr:row>18</xdr:row>
      <xdr:rowOff>219022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A67D3297-ED1F-47F0-8CD6-E4E4CFD8921D}"/>
            </a:ext>
          </a:extLst>
        </xdr:cNvPr>
        <xdr:cNvCxnSpPr/>
      </xdr:nvCxnSpPr>
      <xdr:spPr>
        <a:xfrm>
          <a:off x="5290884" y="4105222"/>
          <a:ext cx="119249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114595</xdr:colOff>
      <xdr:row>21</xdr:row>
      <xdr:rowOff>213129</xdr:rowOff>
    </xdr:from>
    <xdr:ext cx="300082" cy="224998"/>
    <xdr:sp macro="" textlink="'1.設計条件'!T25">
      <xdr:nvSpPr>
        <xdr:cNvPr id="23" name="テキスト ボックス 22">
          <a:extLst>
            <a:ext uri="{FF2B5EF4-FFF2-40B4-BE49-F238E27FC236}">
              <a16:creationId xmlns:a16="http://schemas.microsoft.com/office/drawing/2014/main" id="{998C927D-2CD3-4B1E-A7FD-78F4D21FBC05}"/>
            </a:ext>
          </a:extLst>
        </xdr:cNvPr>
        <xdr:cNvSpPr txBox="1"/>
      </xdr:nvSpPr>
      <xdr:spPr>
        <a:xfrm>
          <a:off x="6743995" y="4785129"/>
          <a:ext cx="30008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9B780F-D6AE-4E52-8AB6-27F6C3A428A8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35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23</xdr:col>
      <xdr:colOff>24924</xdr:colOff>
      <xdr:row>22</xdr:row>
      <xdr:rowOff>4406</xdr:rowOff>
    </xdr:from>
    <xdr:ext cx="502061" cy="224998"/>
    <xdr:sp macro="" textlink="'2.土圧'!$BM$11">
      <xdr:nvSpPr>
        <xdr:cNvPr id="28" name="テキスト ボックス 27">
          <a:extLst>
            <a:ext uri="{FF2B5EF4-FFF2-40B4-BE49-F238E27FC236}">
              <a16:creationId xmlns:a16="http://schemas.microsoft.com/office/drawing/2014/main" id="{D53A41EB-978B-4973-95EE-ACA627BC4A72}"/>
            </a:ext>
          </a:extLst>
        </xdr:cNvPr>
        <xdr:cNvSpPr txBox="1"/>
      </xdr:nvSpPr>
      <xdr:spPr>
        <a:xfrm>
          <a:off x="5282724" y="4805006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174348D-ACC1-4B1F-BE54-DCB2D92A9E0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48.438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19</xdr:col>
      <xdr:colOff>43133</xdr:colOff>
      <xdr:row>20</xdr:row>
      <xdr:rowOff>48080</xdr:rowOff>
    </xdr:from>
    <xdr:ext cx="224998" cy="361959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A3A5C13E-2ADF-40D4-AB32-3E1D9F518016}"/>
            </a:ext>
          </a:extLst>
        </xdr:cNvPr>
        <xdr:cNvSpPr txBox="1"/>
      </xdr:nvSpPr>
      <xdr:spPr>
        <a:xfrm rot="16200000">
          <a:off x="4318052" y="4459961"/>
          <a:ext cx="36195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151911</xdr:colOff>
      <xdr:row>25</xdr:row>
      <xdr:rowOff>213029</xdr:rowOff>
    </xdr:from>
    <xdr:ext cx="349135" cy="224998"/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E5440940-6B92-4763-8B92-378FC56A85BF}"/>
            </a:ext>
          </a:extLst>
        </xdr:cNvPr>
        <xdr:cNvSpPr txBox="1"/>
      </xdr:nvSpPr>
      <xdr:spPr>
        <a:xfrm>
          <a:off x="4952511" y="5699429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45523</xdr:colOff>
      <xdr:row>13</xdr:row>
      <xdr:rowOff>29842</xdr:rowOff>
    </xdr:from>
    <xdr:ext cx="336311" cy="224998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7A1789CB-C197-4A2B-8220-5ABE6D829002}"/>
            </a:ext>
          </a:extLst>
        </xdr:cNvPr>
        <xdr:cNvSpPr txBox="1"/>
      </xdr:nvSpPr>
      <xdr:spPr>
        <a:xfrm>
          <a:off x="5760523" y="2773042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24411</xdr:colOff>
      <xdr:row>14</xdr:row>
      <xdr:rowOff>16339</xdr:rowOff>
    </xdr:from>
    <xdr:to>
      <xdr:col>27</xdr:col>
      <xdr:colOff>24411</xdr:colOff>
      <xdr:row>14</xdr:row>
      <xdr:rowOff>190183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8D073A6F-F93F-4BBC-B205-6A7632648325}"/>
            </a:ext>
          </a:extLst>
        </xdr:cNvPr>
        <xdr:cNvCxnSpPr/>
      </xdr:nvCxnSpPr>
      <xdr:spPr>
        <a:xfrm>
          <a:off x="6196611" y="2988139"/>
          <a:ext cx="0" cy="17384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30208</xdr:colOff>
      <xdr:row>15</xdr:row>
      <xdr:rowOff>187425</xdr:rowOff>
    </xdr:from>
    <xdr:to>
      <xdr:col>32</xdr:col>
      <xdr:colOff>191648</xdr:colOff>
      <xdr:row>15</xdr:row>
      <xdr:rowOff>187425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183389E3-EE4D-4E20-B7B0-637166A737E6}"/>
            </a:ext>
          </a:extLst>
        </xdr:cNvPr>
        <xdr:cNvCxnSpPr/>
      </xdr:nvCxnSpPr>
      <xdr:spPr>
        <a:xfrm>
          <a:off x="6202408" y="3387825"/>
          <a:ext cx="1304440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139291</xdr:colOff>
      <xdr:row>13</xdr:row>
      <xdr:rowOff>29842</xdr:rowOff>
    </xdr:from>
    <xdr:ext cx="374783" cy="224998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27AB7BAC-F3A4-4C3B-8520-CC16F4D3ED44}"/>
            </a:ext>
          </a:extLst>
        </xdr:cNvPr>
        <xdr:cNvSpPr txBox="1"/>
      </xdr:nvSpPr>
      <xdr:spPr>
        <a:xfrm>
          <a:off x="6540091" y="2773042"/>
          <a:ext cx="37478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u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23</xdr:col>
      <xdr:colOff>137046</xdr:colOff>
      <xdr:row>22</xdr:row>
      <xdr:rowOff>106343</xdr:rowOff>
    </xdr:from>
    <xdr:to>
      <xdr:col>27</xdr:col>
      <xdr:colOff>145979</xdr:colOff>
      <xdr:row>27</xdr:row>
      <xdr:rowOff>72175</xdr:rowOff>
    </xdr:to>
    <xdr:sp macro="" textlink="">
      <xdr:nvSpPr>
        <xdr:cNvPr id="35" name="円弧 34">
          <a:extLst>
            <a:ext uri="{FF2B5EF4-FFF2-40B4-BE49-F238E27FC236}">
              <a16:creationId xmlns:a16="http://schemas.microsoft.com/office/drawing/2014/main" id="{4CA1DF80-29D7-4E86-BD58-06085CD0B628}"/>
            </a:ext>
          </a:extLst>
        </xdr:cNvPr>
        <xdr:cNvSpPr/>
      </xdr:nvSpPr>
      <xdr:spPr>
        <a:xfrm rot="1800000">
          <a:off x="5394846" y="4906943"/>
          <a:ext cx="923333" cy="1108832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24</xdr:col>
      <xdr:colOff>76260</xdr:colOff>
      <xdr:row>25</xdr:row>
      <xdr:rowOff>54754</xdr:rowOff>
    </xdr:from>
    <xdr:to>
      <xdr:col>28</xdr:col>
      <xdr:colOff>155050</xdr:colOff>
      <xdr:row>25</xdr:row>
      <xdr:rowOff>54754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A8C1DC7B-5DDC-4594-9DA5-8B6E2407B469}"/>
            </a:ext>
          </a:extLst>
        </xdr:cNvPr>
        <xdr:cNvCxnSpPr/>
      </xdr:nvCxnSpPr>
      <xdr:spPr>
        <a:xfrm>
          <a:off x="5562660" y="5541154"/>
          <a:ext cx="993190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27</xdr:col>
      <xdr:colOff>102095</xdr:colOff>
      <xdr:row>24</xdr:row>
      <xdr:rowOff>13543</xdr:rowOff>
    </xdr:from>
    <xdr:ext cx="355097" cy="242374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482D5404-B061-41E5-8151-F40DA6A18C58}"/>
            </a:ext>
          </a:extLst>
        </xdr:cNvPr>
        <xdr:cNvSpPr txBox="1"/>
      </xdr:nvSpPr>
      <xdr:spPr>
        <a:xfrm>
          <a:off x="6274295" y="5271343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ω=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105127</xdr:colOff>
      <xdr:row>16</xdr:row>
      <xdr:rowOff>153880</xdr:rowOff>
    </xdr:from>
    <xdr:to>
      <xdr:col>27</xdr:col>
      <xdr:colOff>110361</xdr:colOff>
      <xdr:row>17</xdr:row>
      <xdr:rowOff>150022</xdr:rowOff>
    </xdr:to>
    <xdr:sp macro="" textlink="">
      <xdr:nvSpPr>
        <xdr:cNvPr id="38" name="円弧 37">
          <a:extLst>
            <a:ext uri="{FF2B5EF4-FFF2-40B4-BE49-F238E27FC236}">
              <a16:creationId xmlns:a16="http://schemas.microsoft.com/office/drawing/2014/main" id="{2E5FDD21-057D-4040-9A62-086C7E19F30F}"/>
            </a:ext>
          </a:extLst>
        </xdr:cNvPr>
        <xdr:cNvSpPr/>
      </xdr:nvSpPr>
      <xdr:spPr>
        <a:xfrm rot="9818130">
          <a:off x="6048727" y="3582880"/>
          <a:ext cx="233834" cy="224742"/>
        </a:xfrm>
        <a:prstGeom prst="arc">
          <a:avLst>
            <a:gd name="adj1" fmla="val 16304718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27</xdr:col>
      <xdr:colOff>29194</xdr:colOff>
      <xdr:row>15</xdr:row>
      <xdr:rowOff>48924</xdr:rowOff>
    </xdr:from>
    <xdr:to>
      <xdr:col>27</xdr:col>
      <xdr:colOff>29194</xdr:colOff>
      <xdr:row>18</xdr:row>
      <xdr:rowOff>93100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67263B08-ABB9-4AD7-A8C5-06B3E75FFA9D}"/>
            </a:ext>
          </a:extLst>
        </xdr:cNvPr>
        <xdr:cNvCxnSpPr/>
      </xdr:nvCxnSpPr>
      <xdr:spPr>
        <a:xfrm>
          <a:off x="6201394" y="3249324"/>
          <a:ext cx="0" cy="729976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175126</xdr:colOff>
      <xdr:row>16</xdr:row>
      <xdr:rowOff>180100</xdr:rowOff>
    </xdr:from>
    <xdr:ext cx="355097" cy="242374"/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3C5C1387-2F39-4C87-97F1-47DE59BB49A3}"/>
            </a:ext>
          </a:extLst>
        </xdr:cNvPr>
        <xdr:cNvSpPr txBox="1"/>
      </xdr:nvSpPr>
      <xdr:spPr>
        <a:xfrm>
          <a:off x="6118726" y="3609100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α=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21929</xdr:colOff>
      <xdr:row>14</xdr:row>
      <xdr:rowOff>56178</xdr:rowOff>
    </xdr:from>
    <xdr:to>
      <xdr:col>32</xdr:col>
      <xdr:colOff>199847</xdr:colOff>
      <xdr:row>14</xdr:row>
      <xdr:rowOff>56178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2ACC07E3-53E5-4D52-B969-692B8E389655}"/>
            </a:ext>
          </a:extLst>
        </xdr:cNvPr>
        <xdr:cNvCxnSpPr/>
      </xdr:nvCxnSpPr>
      <xdr:spPr>
        <a:xfrm>
          <a:off x="6194129" y="3027978"/>
          <a:ext cx="1320918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199206</xdr:colOff>
      <xdr:row>14</xdr:row>
      <xdr:rowOff>16339</xdr:rowOff>
    </xdr:from>
    <xdr:to>
      <xdr:col>32</xdr:col>
      <xdr:colOff>199206</xdr:colOff>
      <xdr:row>14</xdr:row>
      <xdr:rowOff>190183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71251768-F33B-44C3-8594-E9987D73C955}"/>
            </a:ext>
          </a:extLst>
        </xdr:cNvPr>
        <xdr:cNvCxnSpPr/>
      </xdr:nvCxnSpPr>
      <xdr:spPr>
        <a:xfrm>
          <a:off x="7514406" y="2988139"/>
          <a:ext cx="0" cy="173844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166962</xdr:colOff>
      <xdr:row>17</xdr:row>
      <xdr:rowOff>52191</xdr:rowOff>
    </xdr:from>
    <xdr:to>
      <xdr:col>28</xdr:col>
      <xdr:colOff>166962</xdr:colOff>
      <xdr:row>19</xdr:row>
      <xdr:rowOff>190909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F953EF4C-ED34-43BA-BF33-5DC2C55169D2}"/>
            </a:ext>
          </a:extLst>
        </xdr:cNvPr>
        <xdr:cNvCxnSpPr/>
      </xdr:nvCxnSpPr>
      <xdr:spPr>
        <a:xfrm>
          <a:off x="6567762" y="3709791"/>
          <a:ext cx="0" cy="595918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24229</xdr:colOff>
      <xdr:row>16</xdr:row>
      <xdr:rowOff>88055</xdr:rowOff>
    </xdr:from>
    <xdr:ext cx="374718" cy="224998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E814D564-BD59-49B1-9A58-FC3010203F74}"/>
            </a:ext>
          </a:extLst>
        </xdr:cNvPr>
        <xdr:cNvSpPr txBox="1"/>
      </xdr:nvSpPr>
      <xdr:spPr>
        <a:xfrm>
          <a:off x="6425029" y="3517055"/>
          <a:ext cx="374718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W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223282</xdr:colOff>
      <xdr:row>21</xdr:row>
      <xdr:rowOff>126853</xdr:rowOff>
    </xdr:from>
    <xdr:to>
      <xdr:col>29</xdr:col>
      <xdr:colOff>208748</xdr:colOff>
      <xdr:row>21</xdr:row>
      <xdr:rowOff>126853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EEB13FE4-5FD2-483C-8CA4-E598ADD98357}"/>
            </a:ext>
          </a:extLst>
        </xdr:cNvPr>
        <xdr:cNvCxnSpPr/>
      </xdr:nvCxnSpPr>
      <xdr:spPr>
        <a:xfrm rot="2460000">
          <a:off x="6395482" y="4698853"/>
          <a:ext cx="442666" cy="0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148147</xdr:colOff>
      <xdr:row>20</xdr:row>
      <xdr:rowOff>206435</xdr:rowOff>
    </xdr:from>
    <xdr:to>
      <xdr:col>28</xdr:col>
      <xdr:colOff>148147</xdr:colOff>
      <xdr:row>23</xdr:row>
      <xdr:rowOff>86774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DC597AE7-961F-4C5C-8C54-8FFB9D51E5F3}"/>
            </a:ext>
          </a:extLst>
        </xdr:cNvPr>
        <xdr:cNvCxnSpPr/>
      </xdr:nvCxnSpPr>
      <xdr:spPr>
        <a:xfrm rot="4260000">
          <a:off x="6265877" y="4832905"/>
          <a:ext cx="566139" cy="0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224525</xdr:colOff>
      <xdr:row>21</xdr:row>
      <xdr:rowOff>2460</xdr:rowOff>
    </xdr:from>
    <xdr:to>
      <xdr:col>29</xdr:col>
      <xdr:colOff>2826</xdr:colOff>
      <xdr:row>22</xdr:row>
      <xdr:rowOff>498</xdr:rowOff>
    </xdr:to>
    <xdr:sp macro="" textlink="">
      <xdr:nvSpPr>
        <xdr:cNvPr id="47" name="円弧 46">
          <a:extLst>
            <a:ext uri="{FF2B5EF4-FFF2-40B4-BE49-F238E27FC236}">
              <a16:creationId xmlns:a16="http://schemas.microsoft.com/office/drawing/2014/main" id="{5DA72AB2-136B-40A8-933A-282C5E3BB3E3}"/>
            </a:ext>
          </a:extLst>
        </xdr:cNvPr>
        <xdr:cNvSpPr/>
      </xdr:nvSpPr>
      <xdr:spPr>
        <a:xfrm rot="5940764">
          <a:off x="6398916" y="4572269"/>
          <a:ext cx="226638" cy="231019"/>
        </a:xfrm>
        <a:prstGeom prst="arc">
          <a:avLst>
            <a:gd name="adj1" fmla="val 15939320"/>
            <a:gd name="adj2" fmla="val 20343566"/>
          </a:avLst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28</xdr:col>
      <xdr:colOff>129091</xdr:colOff>
      <xdr:row>21</xdr:row>
      <xdr:rowOff>205831</xdr:rowOff>
    </xdr:from>
    <xdr:ext cx="355097" cy="242374"/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4EC38E20-7E70-4AF3-9EE7-FC4410CD6326}"/>
            </a:ext>
          </a:extLst>
        </xdr:cNvPr>
        <xdr:cNvSpPr txBox="1"/>
      </xdr:nvSpPr>
      <xdr:spPr>
        <a:xfrm>
          <a:off x="6529891" y="4777831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φ=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110463</xdr:colOff>
      <xdr:row>21</xdr:row>
      <xdr:rowOff>203497</xdr:rowOff>
    </xdr:from>
    <xdr:to>
      <xdr:col>25</xdr:col>
      <xdr:colOff>76975</xdr:colOff>
      <xdr:row>21</xdr:row>
      <xdr:rowOff>203497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AA3FBCF0-DE03-44E3-A107-CF21A78A8527}"/>
            </a:ext>
          </a:extLst>
        </xdr:cNvPr>
        <xdr:cNvCxnSpPr/>
      </xdr:nvCxnSpPr>
      <xdr:spPr>
        <a:xfrm rot="5160000">
          <a:off x="5694419" y="4677941"/>
          <a:ext cx="0" cy="195112"/>
        </a:xfrm>
        <a:prstGeom prst="line">
          <a:avLst/>
        </a:prstGeom>
        <a:ln w="25400">
          <a:solidFill>
            <a:schemeClr val="tx1"/>
          </a:solidFill>
          <a:prstDash val="solid"/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85447</xdr:colOff>
      <xdr:row>21</xdr:row>
      <xdr:rowOff>121504</xdr:rowOff>
    </xdr:from>
    <xdr:to>
      <xdr:col>25</xdr:col>
      <xdr:colOff>89672</xdr:colOff>
      <xdr:row>21</xdr:row>
      <xdr:rowOff>195307</xdr:rowOff>
    </xdr:to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F0039359-DE30-4B4B-B887-562A5620E7CA}"/>
            </a:ext>
          </a:extLst>
        </xdr:cNvPr>
        <xdr:cNvCxnSpPr/>
      </xdr:nvCxnSpPr>
      <xdr:spPr>
        <a:xfrm>
          <a:off x="5571847" y="4693504"/>
          <a:ext cx="232825" cy="73803"/>
        </a:xfrm>
        <a:prstGeom prst="line">
          <a:avLst/>
        </a:prstGeom>
        <a:ln w="3175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23</xdr:col>
      <xdr:colOff>113212</xdr:colOff>
      <xdr:row>20</xdr:row>
      <xdr:rowOff>10156</xdr:rowOff>
    </xdr:from>
    <xdr:ext cx="355097" cy="242374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DFE738AB-9EFF-4385-889D-39FC59731EAD}"/>
            </a:ext>
          </a:extLst>
        </xdr:cNvPr>
        <xdr:cNvSpPr txBox="1"/>
      </xdr:nvSpPr>
      <xdr:spPr>
        <a:xfrm>
          <a:off x="5371012" y="4353556"/>
          <a:ext cx="35509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δ=</a:t>
          </a:r>
          <a:endParaRPr kumimoji="1" lang="ja-JP" altLang="en-US" sz="900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154494</xdr:colOff>
      <xdr:row>21</xdr:row>
      <xdr:rowOff>91389</xdr:rowOff>
    </xdr:from>
    <xdr:to>
      <xdr:col>25</xdr:col>
      <xdr:colOff>180140</xdr:colOff>
      <xdr:row>22</xdr:row>
      <xdr:rowOff>83966</xdr:rowOff>
    </xdr:to>
    <xdr:sp macro="" textlink="">
      <xdr:nvSpPr>
        <xdr:cNvPr id="52" name="円弧 51">
          <a:extLst>
            <a:ext uri="{FF2B5EF4-FFF2-40B4-BE49-F238E27FC236}">
              <a16:creationId xmlns:a16="http://schemas.microsoft.com/office/drawing/2014/main" id="{463E8F50-19F6-4FC7-BFCA-E7D21667AB83}"/>
            </a:ext>
          </a:extLst>
        </xdr:cNvPr>
        <xdr:cNvSpPr/>
      </xdr:nvSpPr>
      <xdr:spPr>
        <a:xfrm rot="11882846">
          <a:off x="5640894" y="4663389"/>
          <a:ext cx="254246" cy="221177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none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24</xdr:col>
      <xdr:colOff>159748</xdr:colOff>
      <xdr:row>21</xdr:row>
      <xdr:rowOff>30681</xdr:rowOff>
    </xdr:from>
    <xdr:to>
      <xdr:col>25</xdr:col>
      <xdr:colOff>165882</xdr:colOff>
      <xdr:row>22</xdr:row>
      <xdr:rowOff>35820</xdr:rowOff>
    </xdr:to>
    <xdr:sp macro="" textlink="">
      <xdr:nvSpPr>
        <xdr:cNvPr id="53" name="円弧 52">
          <a:extLst>
            <a:ext uri="{FF2B5EF4-FFF2-40B4-BE49-F238E27FC236}">
              <a16:creationId xmlns:a16="http://schemas.microsoft.com/office/drawing/2014/main" id="{9C3E1CD4-7C80-4792-A923-59EDBF45AB8D}"/>
            </a:ext>
          </a:extLst>
        </xdr:cNvPr>
        <xdr:cNvSpPr/>
      </xdr:nvSpPr>
      <xdr:spPr>
        <a:xfrm rot="16419954">
          <a:off x="5646645" y="4602184"/>
          <a:ext cx="233739" cy="234734"/>
        </a:xfrm>
        <a:prstGeom prst="arc">
          <a:avLst>
            <a:gd name="adj1" fmla="val 16200000"/>
            <a:gd name="adj2" fmla="val 20343566"/>
          </a:avLst>
        </a:prstGeom>
        <a:noFill/>
        <a:ln w="3175">
          <a:solidFill>
            <a:schemeClr val="accent1"/>
          </a:solidFill>
          <a:headEnd type="stealth" w="sm" len="sm"/>
          <a:tailEnd type="none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23</xdr:col>
      <xdr:colOff>46304</xdr:colOff>
      <xdr:row>21</xdr:row>
      <xdr:rowOff>127962</xdr:rowOff>
    </xdr:from>
    <xdr:ext cx="302199" cy="224998"/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5EA5A095-A5B2-46A4-9E37-7D937CF3ADD0}"/>
            </a:ext>
          </a:extLst>
        </xdr:cNvPr>
        <xdr:cNvSpPr txBox="1"/>
      </xdr:nvSpPr>
      <xdr:spPr>
        <a:xfrm>
          <a:off x="5304104" y="4699962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28</xdr:col>
      <xdr:colOff>95761</xdr:colOff>
      <xdr:row>20</xdr:row>
      <xdr:rowOff>182258</xdr:rowOff>
    </xdr:from>
    <xdr:to>
      <xdr:col>28</xdr:col>
      <xdr:colOff>152440</xdr:colOff>
      <xdr:row>20</xdr:row>
      <xdr:rowOff>211279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AD4BFD32-4536-4DE1-9E48-00B7E0CC0628}"/>
            </a:ext>
          </a:extLst>
        </xdr:cNvPr>
        <xdr:cNvCxnSpPr/>
      </xdr:nvCxnSpPr>
      <xdr:spPr>
        <a:xfrm>
          <a:off x="6496561" y="4525658"/>
          <a:ext cx="56679" cy="29021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109780</xdr:colOff>
      <xdr:row>20</xdr:row>
      <xdr:rowOff>214383</xdr:rowOff>
    </xdr:from>
    <xdr:to>
      <xdr:col>28</xdr:col>
      <xdr:colOff>142179</xdr:colOff>
      <xdr:row>21</xdr:row>
      <xdr:rowOff>26185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36BBF316-3476-48EC-90D0-2BE4D7D749B8}"/>
            </a:ext>
          </a:extLst>
        </xdr:cNvPr>
        <xdr:cNvCxnSpPr/>
      </xdr:nvCxnSpPr>
      <xdr:spPr>
        <a:xfrm flipH="1">
          <a:off x="6510580" y="4557783"/>
          <a:ext cx="32399" cy="40402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31196</xdr:colOff>
      <xdr:row>21</xdr:row>
      <xdr:rowOff>111613</xdr:rowOff>
    </xdr:from>
    <xdr:to>
      <xdr:col>25</xdr:col>
      <xdr:colOff>95337</xdr:colOff>
      <xdr:row>21</xdr:row>
      <xdr:rowOff>132746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F287DCC-A0CA-44B2-AA02-98E5470FC0AD}"/>
            </a:ext>
          </a:extLst>
        </xdr:cNvPr>
        <xdr:cNvCxnSpPr/>
      </xdr:nvCxnSpPr>
      <xdr:spPr>
        <a:xfrm>
          <a:off x="5746196" y="4683613"/>
          <a:ext cx="64141" cy="21133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19187</xdr:colOff>
      <xdr:row>21</xdr:row>
      <xdr:rowOff>116606</xdr:rowOff>
    </xdr:from>
    <xdr:to>
      <xdr:col>25</xdr:col>
      <xdr:colOff>36584</xdr:colOff>
      <xdr:row>21</xdr:row>
      <xdr:rowOff>172594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E60D3F8D-0FD2-4152-B379-F8333EDD3142}"/>
            </a:ext>
          </a:extLst>
        </xdr:cNvPr>
        <xdr:cNvCxnSpPr/>
      </xdr:nvCxnSpPr>
      <xdr:spPr>
        <a:xfrm flipH="1">
          <a:off x="5734187" y="4688606"/>
          <a:ext cx="17397" cy="55988"/>
        </a:xfrm>
        <a:prstGeom prst="line">
          <a:avLst/>
        </a:prstGeom>
        <a:ln w="3175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39408</xdr:colOff>
      <xdr:row>15</xdr:row>
      <xdr:rowOff>24869</xdr:rowOff>
    </xdr:from>
    <xdr:to>
      <xdr:col>27</xdr:col>
      <xdr:colOff>40804</xdr:colOff>
      <xdr:row>15</xdr:row>
      <xdr:rowOff>181629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511AAB69-20CC-4834-98DB-527E7F2A8F13}"/>
            </a:ext>
          </a:extLst>
        </xdr:cNvPr>
        <xdr:cNvCxnSpPr/>
      </xdr:nvCxnSpPr>
      <xdr:spPr>
        <a:xfrm flipH="1">
          <a:off x="6211608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149058</xdr:colOff>
      <xdr:row>15</xdr:row>
      <xdr:rowOff>24869</xdr:rowOff>
    </xdr:from>
    <xdr:to>
      <xdr:col>27</xdr:col>
      <xdr:colOff>150454</xdr:colOff>
      <xdr:row>15</xdr:row>
      <xdr:rowOff>181629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A8141DB0-FC5E-4E4F-93C8-504173DBA37A}"/>
            </a:ext>
          </a:extLst>
        </xdr:cNvPr>
        <xdr:cNvCxnSpPr/>
      </xdr:nvCxnSpPr>
      <xdr:spPr>
        <a:xfrm flipH="1">
          <a:off x="6321258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19909</xdr:colOff>
      <xdr:row>15</xdr:row>
      <xdr:rowOff>24869</xdr:rowOff>
    </xdr:from>
    <xdr:to>
      <xdr:col>28</xdr:col>
      <xdr:colOff>21305</xdr:colOff>
      <xdr:row>15</xdr:row>
      <xdr:rowOff>181629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B635191D-9CBF-457A-A00B-8F1E79726EF0}"/>
            </a:ext>
          </a:extLst>
        </xdr:cNvPr>
        <xdr:cNvCxnSpPr/>
      </xdr:nvCxnSpPr>
      <xdr:spPr>
        <a:xfrm flipH="1">
          <a:off x="6420709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28</xdr:col>
      <xdr:colOff>132409</xdr:colOff>
      <xdr:row>15</xdr:row>
      <xdr:rowOff>24869</xdr:rowOff>
    </xdr:from>
    <xdr:to>
      <xdr:col>28</xdr:col>
      <xdr:colOff>133805</xdr:colOff>
      <xdr:row>15</xdr:row>
      <xdr:rowOff>181629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C9C1386C-EF0E-41E1-9CC6-5D5224A66938}"/>
            </a:ext>
          </a:extLst>
        </xdr:cNvPr>
        <xdr:cNvCxnSpPr/>
      </xdr:nvCxnSpPr>
      <xdr:spPr>
        <a:xfrm flipH="1">
          <a:off x="6533209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6170</xdr:colOff>
      <xdr:row>15</xdr:row>
      <xdr:rowOff>24869</xdr:rowOff>
    </xdr:from>
    <xdr:to>
      <xdr:col>29</xdr:col>
      <xdr:colOff>7566</xdr:colOff>
      <xdr:row>15</xdr:row>
      <xdr:rowOff>181629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B66C17B7-E3BD-453C-A7B3-AAD1E4E9FEDE}"/>
            </a:ext>
          </a:extLst>
        </xdr:cNvPr>
        <xdr:cNvCxnSpPr/>
      </xdr:nvCxnSpPr>
      <xdr:spPr>
        <a:xfrm flipH="1">
          <a:off x="6635570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105980</xdr:colOff>
      <xdr:row>15</xdr:row>
      <xdr:rowOff>24869</xdr:rowOff>
    </xdr:from>
    <xdr:to>
      <xdr:col>29</xdr:col>
      <xdr:colOff>107376</xdr:colOff>
      <xdr:row>15</xdr:row>
      <xdr:rowOff>181629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E5E3546B-729A-4FFC-99D7-346A5B8447C6}"/>
            </a:ext>
          </a:extLst>
        </xdr:cNvPr>
        <xdr:cNvCxnSpPr/>
      </xdr:nvCxnSpPr>
      <xdr:spPr>
        <a:xfrm flipH="1">
          <a:off x="6735380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203416</xdr:colOff>
      <xdr:row>15</xdr:row>
      <xdr:rowOff>24869</xdr:rowOff>
    </xdr:from>
    <xdr:to>
      <xdr:col>29</xdr:col>
      <xdr:colOff>204812</xdr:colOff>
      <xdr:row>15</xdr:row>
      <xdr:rowOff>181629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3A1C00D1-79DB-4A50-A696-CCC20E552DA4}"/>
            </a:ext>
          </a:extLst>
        </xdr:cNvPr>
        <xdr:cNvCxnSpPr/>
      </xdr:nvCxnSpPr>
      <xdr:spPr>
        <a:xfrm flipH="1">
          <a:off x="6832816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87704</xdr:colOff>
      <xdr:row>15</xdr:row>
      <xdr:rowOff>24869</xdr:rowOff>
    </xdr:from>
    <xdr:to>
      <xdr:col>30</xdr:col>
      <xdr:colOff>89100</xdr:colOff>
      <xdr:row>15</xdr:row>
      <xdr:rowOff>181629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31BD16C2-ADE3-4618-A354-DBB28627B6B4}"/>
            </a:ext>
          </a:extLst>
        </xdr:cNvPr>
        <xdr:cNvCxnSpPr/>
      </xdr:nvCxnSpPr>
      <xdr:spPr>
        <a:xfrm flipH="1">
          <a:off x="6945704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30</xdr:col>
      <xdr:colOff>188548</xdr:colOff>
      <xdr:row>15</xdr:row>
      <xdr:rowOff>24869</xdr:rowOff>
    </xdr:from>
    <xdr:to>
      <xdr:col>30</xdr:col>
      <xdr:colOff>189944</xdr:colOff>
      <xdr:row>15</xdr:row>
      <xdr:rowOff>181629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11E6E34A-2BAD-4275-A5AF-C788F415363C}"/>
            </a:ext>
          </a:extLst>
        </xdr:cNvPr>
        <xdr:cNvCxnSpPr/>
      </xdr:nvCxnSpPr>
      <xdr:spPr>
        <a:xfrm flipH="1">
          <a:off x="7046548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69293</xdr:colOff>
      <xdr:row>15</xdr:row>
      <xdr:rowOff>24869</xdr:rowOff>
    </xdr:from>
    <xdr:to>
      <xdr:col>31</xdr:col>
      <xdr:colOff>70689</xdr:colOff>
      <xdr:row>15</xdr:row>
      <xdr:rowOff>181629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5CEA5761-C66E-4F31-8025-AB26AB1B81E1}"/>
            </a:ext>
          </a:extLst>
        </xdr:cNvPr>
        <xdr:cNvCxnSpPr/>
      </xdr:nvCxnSpPr>
      <xdr:spPr>
        <a:xfrm flipH="1">
          <a:off x="7155893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193580</xdr:colOff>
      <xdr:row>15</xdr:row>
      <xdr:rowOff>24869</xdr:rowOff>
    </xdr:from>
    <xdr:to>
      <xdr:col>31</xdr:col>
      <xdr:colOff>194976</xdr:colOff>
      <xdr:row>15</xdr:row>
      <xdr:rowOff>181629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403E05B6-3DAC-4FC1-A1E5-516BF6325BA2}"/>
            </a:ext>
          </a:extLst>
        </xdr:cNvPr>
        <xdr:cNvCxnSpPr/>
      </xdr:nvCxnSpPr>
      <xdr:spPr>
        <a:xfrm flipH="1">
          <a:off x="7280180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77144</xdr:colOff>
      <xdr:row>15</xdr:row>
      <xdr:rowOff>24869</xdr:rowOff>
    </xdr:from>
    <xdr:to>
      <xdr:col>32</xdr:col>
      <xdr:colOff>78540</xdr:colOff>
      <xdr:row>15</xdr:row>
      <xdr:rowOff>181629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6763459A-8080-4B0A-82E1-42103E829159}"/>
            </a:ext>
          </a:extLst>
        </xdr:cNvPr>
        <xdr:cNvCxnSpPr/>
      </xdr:nvCxnSpPr>
      <xdr:spPr>
        <a:xfrm flipH="1">
          <a:off x="7392344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32</xdr:col>
      <xdr:colOff>193581</xdr:colOff>
      <xdr:row>15</xdr:row>
      <xdr:rowOff>24869</xdr:rowOff>
    </xdr:from>
    <xdr:to>
      <xdr:col>32</xdr:col>
      <xdr:colOff>194977</xdr:colOff>
      <xdr:row>15</xdr:row>
      <xdr:rowOff>181629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EC057B1F-CC92-430D-BA5C-9F35BE461EC0}"/>
            </a:ext>
          </a:extLst>
        </xdr:cNvPr>
        <xdr:cNvCxnSpPr/>
      </xdr:nvCxnSpPr>
      <xdr:spPr>
        <a:xfrm flipH="1">
          <a:off x="7508781" y="3225269"/>
          <a:ext cx="1396" cy="15676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19</xdr:col>
      <xdr:colOff>43132</xdr:colOff>
      <xdr:row>18</xdr:row>
      <xdr:rowOff>208269</xdr:rowOff>
    </xdr:from>
    <xdr:ext cx="224998" cy="444352"/>
    <xdr:sp macro="" textlink="'1.設計条件'!T5">
      <xdr:nvSpPr>
        <xdr:cNvPr id="72" name="テキスト ボックス 71">
          <a:extLst>
            <a:ext uri="{FF2B5EF4-FFF2-40B4-BE49-F238E27FC236}">
              <a16:creationId xmlns:a16="http://schemas.microsoft.com/office/drawing/2014/main" id="{540D51C4-04BD-459A-898E-518CF2F3F0EA}"/>
            </a:ext>
          </a:extLst>
        </xdr:cNvPr>
        <xdr:cNvSpPr txBox="1"/>
      </xdr:nvSpPr>
      <xdr:spPr>
        <a:xfrm rot="16200000">
          <a:off x="4276855" y="420414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05C5FA1-3E40-4227-B4C2-A38712D88AC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6.100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26</xdr:col>
      <xdr:colOff>14001</xdr:colOff>
      <xdr:row>13</xdr:row>
      <xdr:rowOff>29841</xdr:rowOff>
    </xdr:from>
    <xdr:ext cx="444352" cy="224998"/>
    <xdr:sp macro="" textlink="'1.設計条件'!T7">
      <xdr:nvSpPr>
        <xdr:cNvPr id="73" name="テキスト ボックス 72">
          <a:extLst>
            <a:ext uri="{FF2B5EF4-FFF2-40B4-BE49-F238E27FC236}">
              <a16:creationId xmlns:a16="http://schemas.microsoft.com/office/drawing/2014/main" id="{7AC7FD6E-8C8A-49E2-B5D9-5BD650C40621}"/>
            </a:ext>
          </a:extLst>
        </xdr:cNvPr>
        <xdr:cNvSpPr txBox="1"/>
      </xdr:nvSpPr>
      <xdr:spPr>
        <a:xfrm>
          <a:off x="5957601" y="277304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15F30C5-2DCF-4211-AE7D-695D8D414C36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22</xdr:col>
      <xdr:colOff>138303</xdr:colOff>
      <xdr:row>25</xdr:row>
      <xdr:rowOff>223915</xdr:rowOff>
    </xdr:from>
    <xdr:ext cx="444352" cy="224998"/>
    <xdr:sp macro="" textlink="'1.設計条件'!T9">
      <xdr:nvSpPr>
        <xdr:cNvPr id="74" name="テキスト ボックス 73">
          <a:extLst>
            <a:ext uri="{FF2B5EF4-FFF2-40B4-BE49-F238E27FC236}">
              <a16:creationId xmlns:a16="http://schemas.microsoft.com/office/drawing/2014/main" id="{E313F0DB-3441-4F33-B7C4-CE2D1C1BC257}"/>
            </a:ext>
          </a:extLst>
        </xdr:cNvPr>
        <xdr:cNvSpPr txBox="1"/>
      </xdr:nvSpPr>
      <xdr:spPr>
        <a:xfrm>
          <a:off x="5167503" y="571031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C136490-56BA-4412-A60F-D119A4A04E4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74568</xdr:colOff>
      <xdr:row>15</xdr:row>
      <xdr:rowOff>200474</xdr:rowOff>
    </xdr:from>
    <xdr:to>
      <xdr:col>27</xdr:col>
      <xdr:colOff>18570</xdr:colOff>
      <xdr:row>15</xdr:row>
      <xdr:rowOff>200474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5D8B2428-1BE8-4442-A18D-BBE48361C715}"/>
            </a:ext>
          </a:extLst>
        </xdr:cNvPr>
        <xdr:cNvCxnSpPr/>
      </xdr:nvCxnSpPr>
      <xdr:spPr>
        <a:xfrm>
          <a:off x="5789568" y="3400874"/>
          <a:ext cx="40120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142802</xdr:colOff>
      <xdr:row>15</xdr:row>
      <xdr:rowOff>199837</xdr:rowOff>
    </xdr:from>
    <xdr:to>
      <xdr:col>24</xdr:col>
      <xdr:colOff>97025</xdr:colOff>
      <xdr:row>15</xdr:row>
      <xdr:rowOff>199837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B404BED6-806B-4C24-B8D9-51ED76BC100F}"/>
            </a:ext>
          </a:extLst>
        </xdr:cNvPr>
        <xdr:cNvCxnSpPr/>
      </xdr:nvCxnSpPr>
      <xdr:spPr>
        <a:xfrm>
          <a:off x="4486202" y="3400237"/>
          <a:ext cx="109722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191666</xdr:colOff>
      <xdr:row>25</xdr:row>
      <xdr:rowOff>56839</xdr:rowOff>
    </xdr:from>
    <xdr:to>
      <xdr:col>21</xdr:col>
      <xdr:colOff>212572</xdr:colOff>
      <xdr:row>25</xdr:row>
      <xdr:rowOff>56839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6E1FBA85-C13A-4D46-8EC6-F6C83622051B}"/>
            </a:ext>
          </a:extLst>
        </xdr:cNvPr>
        <xdr:cNvCxnSpPr/>
      </xdr:nvCxnSpPr>
      <xdr:spPr>
        <a:xfrm>
          <a:off x="4535066" y="5543239"/>
          <a:ext cx="478106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122585</xdr:colOff>
      <xdr:row>25</xdr:row>
      <xdr:rowOff>210627</xdr:rowOff>
    </xdr:from>
    <xdr:to>
      <xdr:col>24</xdr:col>
      <xdr:colOff>138588</xdr:colOff>
      <xdr:row>25</xdr:row>
      <xdr:rowOff>210627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545C0BD9-5D98-4612-8F4A-D2CB5E01144C}"/>
            </a:ext>
          </a:extLst>
        </xdr:cNvPr>
        <xdr:cNvCxnSpPr/>
      </xdr:nvCxnSpPr>
      <xdr:spPr>
        <a:xfrm>
          <a:off x="5151785" y="5697027"/>
          <a:ext cx="47320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97549</xdr:colOff>
      <xdr:row>15</xdr:row>
      <xdr:rowOff>193928</xdr:rowOff>
    </xdr:from>
    <xdr:to>
      <xdr:col>27</xdr:col>
      <xdr:colOff>14361</xdr:colOff>
      <xdr:row>24</xdr:row>
      <xdr:rowOff>177174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98B7FD34-F9D1-4DB4-A69C-BE53070D6B84}"/>
            </a:ext>
          </a:extLst>
        </xdr:cNvPr>
        <xdr:cNvCxnSpPr/>
      </xdr:nvCxnSpPr>
      <xdr:spPr>
        <a:xfrm flipH="1">
          <a:off x="5583949" y="3394328"/>
          <a:ext cx="602612" cy="204064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135620</xdr:colOff>
      <xdr:row>25</xdr:row>
      <xdr:rowOff>93740</xdr:rowOff>
    </xdr:from>
    <xdr:to>
      <xdr:col>24</xdr:col>
      <xdr:colOff>135620</xdr:colOff>
      <xdr:row>26</xdr:row>
      <xdr:rowOff>50560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9085E428-94D0-4137-A482-1A4E25550211}"/>
            </a:ext>
          </a:extLst>
        </xdr:cNvPr>
        <xdr:cNvCxnSpPr/>
      </xdr:nvCxnSpPr>
      <xdr:spPr>
        <a:xfrm>
          <a:off x="5622020" y="5580140"/>
          <a:ext cx="0" cy="18542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159926</xdr:colOff>
      <xdr:row>15</xdr:row>
      <xdr:rowOff>196970</xdr:rowOff>
    </xdr:from>
    <xdr:to>
      <xdr:col>25</xdr:col>
      <xdr:colOff>73801</xdr:colOff>
      <xdr:row>24</xdr:row>
      <xdr:rowOff>184570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A697FC25-8053-4136-8A2D-3A635AF01E4D}"/>
            </a:ext>
          </a:extLst>
        </xdr:cNvPr>
        <xdr:cNvCxnSpPr/>
      </xdr:nvCxnSpPr>
      <xdr:spPr>
        <a:xfrm flipH="1">
          <a:off x="5189126" y="3397370"/>
          <a:ext cx="599675" cy="204500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113592</xdr:colOff>
      <xdr:row>24</xdr:row>
      <xdr:rowOff>188924</xdr:rowOff>
    </xdr:from>
    <xdr:to>
      <xdr:col>24</xdr:col>
      <xdr:colOff>129595</xdr:colOff>
      <xdr:row>25</xdr:row>
      <xdr:rowOff>51995</xdr:rowOff>
    </xdr:to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DF1A7975-1D3F-42FF-AE76-65650CF9F4CF}"/>
            </a:ext>
          </a:extLst>
        </xdr:cNvPr>
        <xdr:cNvSpPr/>
      </xdr:nvSpPr>
      <xdr:spPr>
        <a:xfrm>
          <a:off x="5142792" y="5446724"/>
          <a:ext cx="473203" cy="91671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20</xdr:col>
      <xdr:colOff>14456</xdr:colOff>
      <xdr:row>15</xdr:row>
      <xdr:rowOff>200663</xdr:rowOff>
    </xdr:from>
    <xdr:to>
      <xdr:col>20</xdr:col>
      <xdr:colOff>14456</xdr:colOff>
      <xdr:row>25</xdr:row>
      <xdr:rowOff>60405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8F1F9410-43EE-48A3-BF07-11C267380994}"/>
            </a:ext>
          </a:extLst>
        </xdr:cNvPr>
        <xdr:cNvCxnSpPr/>
      </xdr:nvCxnSpPr>
      <xdr:spPr>
        <a:xfrm>
          <a:off x="4586456" y="3401063"/>
          <a:ext cx="0" cy="21457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6039</xdr:colOff>
      <xdr:row>16</xdr:row>
      <xdr:rowOff>69494</xdr:rowOff>
    </xdr:from>
    <xdr:to>
      <xdr:col>26</xdr:col>
      <xdr:colOff>117081</xdr:colOff>
      <xdr:row>24</xdr:row>
      <xdr:rowOff>175454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91495BE9-43E2-4CC9-A5FE-BAAEE7D6B3F6}"/>
            </a:ext>
          </a:extLst>
        </xdr:cNvPr>
        <xdr:cNvCxnSpPr/>
      </xdr:nvCxnSpPr>
      <xdr:spPr>
        <a:xfrm flipH="1">
          <a:off x="5492439" y="3498494"/>
          <a:ext cx="568242" cy="193476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34530</xdr:colOff>
      <xdr:row>23</xdr:row>
      <xdr:rowOff>48899</xdr:rowOff>
    </xdr:from>
    <xdr:to>
      <xdr:col>24</xdr:col>
      <xdr:colOff>114442</xdr:colOff>
      <xdr:row>23</xdr:row>
      <xdr:rowOff>48899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D90BEDA6-1B70-48B2-83DB-6DA636B3228D}"/>
            </a:ext>
          </a:extLst>
        </xdr:cNvPr>
        <xdr:cNvCxnSpPr/>
      </xdr:nvCxnSpPr>
      <xdr:spPr>
        <a:xfrm>
          <a:off x="5292330" y="5078099"/>
          <a:ext cx="30851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23</xdr:col>
      <xdr:colOff>134679</xdr:colOff>
      <xdr:row>21</xdr:row>
      <xdr:rowOff>182209</xdr:rowOff>
    </xdr:from>
    <xdr:to>
      <xdr:col>24</xdr:col>
      <xdr:colOff>213843</xdr:colOff>
      <xdr:row>21</xdr:row>
      <xdr:rowOff>182209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6126B80E-EDAB-4D37-8A67-3ED03D226467}"/>
            </a:ext>
          </a:extLst>
        </xdr:cNvPr>
        <xdr:cNvCxnSpPr/>
      </xdr:nvCxnSpPr>
      <xdr:spPr>
        <a:xfrm>
          <a:off x="5392479" y="4754209"/>
          <a:ext cx="30776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1127</xdr:colOff>
      <xdr:row>20</xdr:row>
      <xdr:rowOff>49324</xdr:rowOff>
    </xdr:from>
    <xdr:to>
      <xdr:col>25</xdr:col>
      <xdr:colOff>84386</xdr:colOff>
      <xdr:row>20</xdr:row>
      <xdr:rowOff>49324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C25FBB64-73A4-43DD-A896-B2D683D767B2}"/>
            </a:ext>
          </a:extLst>
        </xdr:cNvPr>
        <xdr:cNvCxnSpPr/>
      </xdr:nvCxnSpPr>
      <xdr:spPr>
        <a:xfrm>
          <a:off x="5487527" y="4392724"/>
          <a:ext cx="31185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108977</xdr:colOff>
      <xdr:row>18</xdr:row>
      <xdr:rowOff>179493</xdr:rowOff>
    </xdr:from>
    <xdr:to>
      <xdr:col>25</xdr:col>
      <xdr:colOff>193076</xdr:colOff>
      <xdr:row>18</xdr:row>
      <xdr:rowOff>179493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A21B6D33-3D5C-452C-8F69-C2F4F1C88D5B}"/>
            </a:ext>
          </a:extLst>
        </xdr:cNvPr>
        <xdr:cNvCxnSpPr/>
      </xdr:nvCxnSpPr>
      <xdr:spPr>
        <a:xfrm>
          <a:off x="5595377" y="4065693"/>
          <a:ext cx="31269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24</xdr:col>
      <xdr:colOff>217086</xdr:colOff>
      <xdr:row>17</xdr:row>
      <xdr:rowOff>41038</xdr:rowOff>
    </xdr:from>
    <xdr:to>
      <xdr:col>26</xdr:col>
      <xdr:colOff>71747</xdr:colOff>
      <xdr:row>17</xdr:row>
      <xdr:rowOff>41038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7E9260FB-6AA3-48A9-9437-F8C37211915D}"/>
            </a:ext>
          </a:extLst>
        </xdr:cNvPr>
        <xdr:cNvCxnSpPr/>
      </xdr:nvCxnSpPr>
      <xdr:spPr>
        <a:xfrm>
          <a:off x="5703486" y="3698638"/>
          <a:ext cx="31186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30615</xdr:colOff>
      <xdr:row>16</xdr:row>
      <xdr:rowOff>73520</xdr:rowOff>
    </xdr:from>
    <xdr:to>
      <xdr:col>26</xdr:col>
      <xdr:colOff>216324</xdr:colOff>
      <xdr:row>16</xdr:row>
      <xdr:rowOff>73520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B8CFC681-D224-4BB3-95F7-CE2BC965C169}"/>
            </a:ext>
          </a:extLst>
        </xdr:cNvPr>
        <xdr:cNvCxnSpPr/>
      </xdr:nvCxnSpPr>
      <xdr:spPr>
        <a:xfrm>
          <a:off x="5745615" y="3502520"/>
          <a:ext cx="41430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79770</xdr:colOff>
      <xdr:row>14</xdr:row>
      <xdr:rowOff>56133</xdr:rowOff>
    </xdr:from>
    <xdr:to>
      <xdr:col>27</xdr:col>
      <xdr:colOff>28127</xdr:colOff>
      <xdr:row>14</xdr:row>
      <xdr:rowOff>56133</xdr:rowOff>
    </xdr:to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504D45D2-8A33-4454-9117-160D04370697}"/>
            </a:ext>
          </a:extLst>
        </xdr:cNvPr>
        <xdr:cNvCxnSpPr/>
      </xdr:nvCxnSpPr>
      <xdr:spPr>
        <a:xfrm>
          <a:off x="5794770" y="3027933"/>
          <a:ext cx="40555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77368</xdr:colOff>
      <xdr:row>14</xdr:row>
      <xdr:rowOff>35289</xdr:rowOff>
    </xdr:from>
    <xdr:to>
      <xdr:col>25</xdr:col>
      <xdr:colOff>77368</xdr:colOff>
      <xdr:row>15</xdr:row>
      <xdr:rowOff>2463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0F5F88F4-2BAD-4A83-8C2A-3FE150790E2C}"/>
            </a:ext>
          </a:extLst>
        </xdr:cNvPr>
        <xdr:cNvCxnSpPr/>
      </xdr:nvCxnSpPr>
      <xdr:spPr>
        <a:xfrm>
          <a:off x="5792368" y="3007089"/>
          <a:ext cx="0" cy="19129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28</xdr:col>
      <xdr:colOff>151807</xdr:colOff>
      <xdr:row>15</xdr:row>
      <xdr:rowOff>165602</xdr:rowOff>
    </xdr:from>
    <xdr:ext cx="224998" cy="213520"/>
    <xdr:sp macro="" textlink="$T$11">
      <xdr:nvSpPr>
        <xdr:cNvPr id="94" name="テキスト ボックス 93">
          <a:extLst>
            <a:ext uri="{FF2B5EF4-FFF2-40B4-BE49-F238E27FC236}">
              <a16:creationId xmlns:a16="http://schemas.microsoft.com/office/drawing/2014/main" id="{9CAF0EE1-D171-4C91-A90B-EA6EB07F551E}"/>
            </a:ext>
          </a:extLst>
        </xdr:cNvPr>
        <xdr:cNvSpPr txBox="1"/>
      </xdr:nvSpPr>
      <xdr:spPr>
        <a:xfrm rot="16200000">
          <a:off x="6558346" y="3360263"/>
          <a:ext cx="2135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721FA35-5D88-4A46-974D-AB9866F46EB3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 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24</xdr:col>
      <xdr:colOff>64597</xdr:colOff>
      <xdr:row>24</xdr:row>
      <xdr:rowOff>184200</xdr:rowOff>
    </xdr:from>
    <xdr:to>
      <xdr:col>24</xdr:col>
      <xdr:colOff>95608</xdr:colOff>
      <xdr:row>25</xdr:row>
      <xdr:rowOff>49326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D60D52D0-37F6-4518-BD4F-48313A84CC06}"/>
            </a:ext>
          </a:extLst>
        </xdr:cNvPr>
        <xdr:cNvCxnSpPr/>
      </xdr:nvCxnSpPr>
      <xdr:spPr>
        <a:xfrm flipH="1">
          <a:off x="5550997" y="5442000"/>
          <a:ext cx="31011" cy="93726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23069</xdr:colOff>
      <xdr:row>15</xdr:row>
      <xdr:rowOff>200663</xdr:rowOff>
    </xdr:from>
    <xdr:to>
      <xdr:col>22</xdr:col>
      <xdr:colOff>23069</xdr:colOff>
      <xdr:row>20</xdr:row>
      <xdr:rowOff>41219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8FC3FCF6-7ED9-83F2-8AFD-2BFDFBBFC2B4}"/>
            </a:ext>
          </a:extLst>
        </xdr:cNvPr>
        <xdr:cNvCxnSpPr/>
      </xdr:nvCxnSpPr>
      <xdr:spPr>
        <a:xfrm>
          <a:off x="5052269" y="3401063"/>
          <a:ext cx="0" cy="983556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21</xdr:col>
      <xdr:colOff>197704</xdr:colOff>
      <xdr:row>20</xdr:row>
      <xdr:rowOff>39817</xdr:rowOff>
    </xdr:from>
    <xdr:to>
      <xdr:col>23</xdr:col>
      <xdr:colOff>141755</xdr:colOff>
      <xdr:row>20</xdr:row>
      <xdr:rowOff>39817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1FDDCF2A-659B-FE23-9470-2D6F358A39B7}"/>
            </a:ext>
          </a:extLst>
        </xdr:cNvPr>
        <xdr:cNvCxnSpPr/>
      </xdr:nvCxnSpPr>
      <xdr:spPr>
        <a:xfrm>
          <a:off x="4998304" y="4383217"/>
          <a:ext cx="401251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176298</xdr:colOff>
      <xdr:row>20</xdr:row>
      <xdr:rowOff>42690</xdr:rowOff>
    </xdr:from>
    <xdr:to>
      <xdr:col>26</xdr:col>
      <xdr:colOff>88375</xdr:colOff>
      <xdr:row>20</xdr:row>
      <xdr:rowOff>42690</xdr:rowOff>
    </xdr:to>
    <xdr:cxnSp macro="">
      <xdr:nvCxnSpPr>
        <xdr:cNvPr id="110" name="直線コネクタ 109">
          <a:extLst>
            <a:ext uri="{FF2B5EF4-FFF2-40B4-BE49-F238E27FC236}">
              <a16:creationId xmlns:a16="http://schemas.microsoft.com/office/drawing/2014/main" id="{DC938832-79B5-9017-8613-3FA7AC0C2047}"/>
            </a:ext>
          </a:extLst>
        </xdr:cNvPr>
        <xdr:cNvCxnSpPr/>
      </xdr:nvCxnSpPr>
      <xdr:spPr>
        <a:xfrm>
          <a:off x="5891298" y="4386090"/>
          <a:ext cx="140677" cy="0"/>
        </a:xfrm>
        <a:prstGeom prst="line">
          <a:avLst/>
        </a:prstGeom>
        <a:ln w="12700">
          <a:solidFill>
            <a:srgbClr val="FF0000"/>
          </a:solidFill>
          <a:headEnd type="triangle" w="sm" len="med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57764</xdr:colOff>
      <xdr:row>19</xdr:row>
      <xdr:rowOff>122280</xdr:rowOff>
    </xdr:from>
    <xdr:ext cx="302199" cy="224998"/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0F2127C4-6818-9870-A19B-911EDB7CF9AC}"/>
            </a:ext>
          </a:extLst>
        </xdr:cNvPr>
        <xdr:cNvSpPr txBox="1"/>
      </xdr:nvSpPr>
      <xdr:spPr>
        <a:xfrm>
          <a:off x="6001364" y="4237080"/>
          <a:ext cx="30219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21</xdr:col>
      <xdr:colOff>36205</xdr:colOff>
      <xdr:row>17</xdr:row>
      <xdr:rowOff>127543</xdr:rowOff>
    </xdr:from>
    <xdr:ext cx="224998" cy="292581"/>
    <xdr:sp macro="" textlink="">
      <xdr:nvSpPr>
        <xdr:cNvPr id="120" name="テキスト ボックス 119">
          <a:extLst>
            <a:ext uri="{FF2B5EF4-FFF2-40B4-BE49-F238E27FC236}">
              <a16:creationId xmlns:a16="http://schemas.microsoft.com/office/drawing/2014/main" id="{825AAF05-9919-A2A6-E882-BD02D1AA38AA}"/>
            </a:ext>
          </a:extLst>
        </xdr:cNvPr>
        <xdr:cNvSpPr txBox="1"/>
      </xdr:nvSpPr>
      <xdr:spPr>
        <a:xfrm rot="16200000">
          <a:off x="4803013" y="3818935"/>
          <a:ext cx="29258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twoCellAnchor editAs="oneCell">
    <xdr:from>
      <xdr:col>26</xdr:col>
      <xdr:colOff>31639</xdr:colOff>
      <xdr:row>18</xdr:row>
      <xdr:rowOff>226071</xdr:rowOff>
    </xdr:from>
    <xdr:to>
      <xdr:col>27</xdr:col>
      <xdr:colOff>38042</xdr:colOff>
      <xdr:row>19</xdr:row>
      <xdr:rowOff>13299</xdr:rowOff>
    </xdr:to>
    <xdr:cxnSp macro="">
      <xdr:nvCxnSpPr>
        <xdr:cNvPr id="133" name="直線コネクタ 132">
          <a:extLst>
            <a:ext uri="{FF2B5EF4-FFF2-40B4-BE49-F238E27FC236}">
              <a16:creationId xmlns:a16="http://schemas.microsoft.com/office/drawing/2014/main" id="{839446D6-15DE-EB0B-58D3-7258A403E2CF}"/>
            </a:ext>
          </a:extLst>
        </xdr:cNvPr>
        <xdr:cNvCxnSpPr/>
      </xdr:nvCxnSpPr>
      <xdr:spPr>
        <a:xfrm flipV="1">
          <a:off x="5975239" y="4112271"/>
          <a:ext cx="235003" cy="15828"/>
        </a:xfrm>
        <a:prstGeom prst="line">
          <a:avLst/>
        </a:prstGeom>
        <a:ln w="25400">
          <a:solidFill>
            <a:srgbClr val="FF0000"/>
          </a:solidFill>
          <a:headEnd type="triangle" w="med" len="med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26</xdr:col>
      <xdr:colOff>223099</xdr:colOff>
      <xdr:row>18</xdr:row>
      <xdr:rowOff>96282</xdr:rowOff>
    </xdr:from>
    <xdr:ext cx="315023" cy="224998"/>
    <xdr:sp macro="" textlink="">
      <xdr:nvSpPr>
        <xdr:cNvPr id="138" name="テキスト ボックス 137">
          <a:extLst>
            <a:ext uri="{FF2B5EF4-FFF2-40B4-BE49-F238E27FC236}">
              <a16:creationId xmlns:a16="http://schemas.microsoft.com/office/drawing/2014/main" id="{57FC51EA-54F3-BBD9-264E-2E7BFB8DA860}"/>
            </a:ext>
          </a:extLst>
        </xdr:cNvPr>
        <xdr:cNvSpPr txBox="1"/>
      </xdr:nvSpPr>
      <xdr:spPr>
        <a:xfrm>
          <a:off x="6166699" y="3982482"/>
          <a:ext cx="315023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ai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26</xdr:col>
      <xdr:colOff>34098</xdr:colOff>
      <xdr:row>18</xdr:row>
      <xdr:rowOff>5456</xdr:rowOff>
    </xdr:from>
    <xdr:to>
      <xdr:col>26</xdr:col>
      <xdr:colOff>34098</xdr:colOff>
      <xdr:row>18</xdr:row>
      <xdr:rowOff>192321</xdr:rowOff>
    </xdr:to>
    <xdr:cxnSp macro="">
      <xdr:nvCxnSpPr>
        <xdr:cNvPr id="149" name="直線コネクタ 148">
          <a:extLst>
            <a:ext uri="{FF2B5EF4-FFF2-40B4-BE49-F238E27FC236}">
              <a16:creationId xmlns:a16="http://schemas.microsoft.com/office/drawing/2014/main" id="{B61EE6F3-C234-DE78-1C1E-363BC514DE36}"/>
            </a:ext>
          </a:extLst>
        </xdr:cNvPr>
        <xdr:cNvCxnSpPr/>
      </xdr:nvCxnSpPr>
      <xdr:spPr>
        <a:xfrm>
          <a:off x="5977698" y="3891656"/>
          <a:ext cx="0" cy="18686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218179</xdr:colOff>
      <xdr:row>20</xdr:row>
      <xdr:rowOff>15288</xdr:rowOff>
    </xdr:from>
    <xdr:to>
      <xdr:col>24</xdr:col>
      <xdr:colOff>41244</xdr:colOff>
      <xdr:row>20</xdr:row>
      <xdr:rowOff>72727</xdr:rowOff>
    </xdr:to>
    <xdr:sp macro="" textlink="">
      <xdr:nvSpPr>
        <xdr:cNvPr id="150" name="楕円 149">
          <a:extLst>
            <a:ext uri="{FF2B5EF4-FFF2-40B4-BE49-F238E27FC236}">
              <a16:creationId xmlns:a16="http://schemas.microsoft.com/office/drawing/2014/main" id="{C1375A4C-2B36-4492-A492-A3EC272F40B6}"/>
            </a:ext>
          </a:extLst>
        </xdr:cNvPr>
        <xdr:cNvSpPr/>
      </xdr:nvSpPr>
      <xdr:spPr>
        <a:xfrm>
          <a:off x="5475979" y="4358688"/>
          <a:ext cx="51665" cy="57439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22</xdr:col>
      <xdr:colOff>126095</xdr:colOff>
      <xdr:row>25</xdr:row>
      <xdr:rowOff>93740</xdr:rowOff>
    </xdr:from>
    <xdr:to>
      <xdr:col>22</xdr:col>
      <xdr:colOff>126095</xdr:colOff>
      <xdr:row>26</xdr:row>
      <xdr:rowOff>50560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72A84FF-9C6E-8B88-F9F2-AA2FE792412F}"/>
            </a:ext>
          </a:extLst>
        </xdr:cNvPr>
        <xdr:cNvCxnSpPr/>
      </xdr:nvCxnSpPr>
      <xdr:spPr>
        <a:xfrm>
          <a:off x="5155295" y="5580140"/>
          <a:ext cx="0" cy="18542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179945</xdr:colOff>
      <xdr:row>6</xdr:row>
      <xdr:rowOff>100383</xdr:rowOff>
    </xdr:from>
    <xdr:to>
      <xdr:col>64</xdr:col>
      <xdr:colOff>82422</xdr:colOff>
      <xdr:row>15</xdr:row>
      <xdr:rowOff>97964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63BC4C0C-8DDC-4F9D-8D71-D11DB5208C96}"/>
            </a:ext>
          </a:extLst>
        </xdr:cNvPr>
        <xdr:cNvCxnSpPr/>
      </xdr:nvCxnSpPr>
      <xdr:spPr>
        <a:xfrm flipH="1">
          <a:off x="14124545" y="1482869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146154</xdr:colOff>
      <xdr:row>6</xdr:row>
      <xdr:rowOff>128365</xdr:rowOff>
    </xdr:from>
    <xdr:to>
      <xdr:col>64</xdr:col>
      <xdr:colOff>115065</xdr:colOff>
      <xdr:row>11</xdr:row>
      <xdr:rowOff>104183</xdr:rowOff>
    </xdr:to>
    <xdr:sp macro="" textlink="">
      <xdr:nvSpPr>
        <xdr:cNvPr id="24" name="直角三角形 23">
          <a:extLst>
            <a:ext uri="{FF2B5EF4-FFF2-40B4-BE49-F238E27FC236}">
              <a16:creationId xmlns:a16="http://schemas.microsoft.com/office/drawing/2014/main" id="{11A97328-9E57-4BFA-AD2E-E495A34A72D6}"/>
            </a:ext>
          </a:extLst>
        </xdr:cNvPr>
        <xdr:cNvSpPr/>
      </xdr:nvSpPr>
      <xdr:spPr>
        <a:xfrm rot="11760000" flipH="1">
          <a:off x="14547954" y="1510851"/>
          <a:ext cx="197511" cy="1118818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58</xdr:col>
      <xdr:colOff>68865</xdr:colOff>
      <xdr:row>7</xdr:row>
      <xdr:rowOff>26027</xdr:rowOff>
    </xdr:from>
    <xdr:ext cx="224998" cy="290464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A5826A7A-7A0A-4340-B5C4-56B34852894F}"/>
            </a:ext>
          </a:extLst>
        </xdr:cNvPr>
        <xdr:cNvSpPr txBox="1"/>
      </xdr:nvSpPr>
      <xdr:spPr>
        <a:xfrm rot="16200000">
          <a:off x="13294932" y="1669846"/>
          <a:ext cx="2904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61</xdr:col>
      <xdr:colOff>199220</xdr:colOff>
      <xdr:row>4</xdr:row>
      <xdr:rowOff>196784</xdr:rowOff>
    </xdr:from>
    <xdr:ext cx="336311" cy="224998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09CF3752-93DC-4F10-B58B-AA68809D74E0}"/>
            </a:ext>
          </a:extLst>
        </xdr:cNvPr>
        <xdr:cNvSpPr txBox="1"/>
      </xdr:nvSpPr>
      <xdr:spPr>
        <a:xfrm>
          <a:off x="14143820" y="1111184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59</xdr:col>
      <xdr:colOff>7960</xdr:colOff>
      <xdr:row>6</xdr:row>
      <xdr:rowOff>99804</xdr:rowOff>
    </xdr:from>
    <xdr:to>
      <xdr:col>60</xdr:col>
      <xdr:colOff>154785</xdr:colOff>
      <xdr:row>6</xdr:row>
      <xdr:rowOff>99804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EF331356-430E-423C-8D96-5933B632A02D}"/>
            </a:ext>
          </a:extLst>
        </xdr:cNvPr>
        <xdr:cNvCxnSpPr/>
      </xdr:nvCxnSpPr>
      <xdr:spPr>
        <a:xfrm>
          <a:off x="13495360" y="1482290"/>
          <a:ext cx="375425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51470</xdr:colOff>
      <xdr:row>6</xdr:row>
      <xdr:rowOff>110196</xdr:rowOff>
    </xdr:from>
    <xdr:to>
      <xdr:col>59</xdr:col>
      <xdr:colOff>51470</xdr:colOff>
      <xdr:row>9</xdr:row>
      <xdr:rowOff>87927</xdr:rowOff>
    </xdr:to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41C0EF16-8C70-4041-8EEF-8271C516535D}"/>
            </a:ext>
          </a:extLst>
        </xdr:cNvPr>
        <xdr:cNvCxnSpPr/>
      </xdr:nvCxnSpPr>
      <xdr:spPr>
        <a:xfrm>
          <a:off x="13538870" y="1492682"/>
          <a:ext cx="0" cy="66353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143782</xdr:colOff>
      <xdr:row>5</xdr:row>
      <xdr:rowOff>137681</xdr:rowOff>
    </xdr:from>
    <xdr:to>
      <xdr:col>62</xdr:col>
      <xdr:colOff>143782</xdr:colOff>
      <xdr:row>6</xdr:row>
      <xdr:rowOff>55906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A7F4A49E-3FA7-4677-B853-2FA3DA1753E9}"/>
            </a:ext>
          </a:extLst>
        </xdr:cNvPr>
        <xdr:cNvCxnSpPr/>
      </xdr:nvCxnSpPr>
      <xdr:spPr>
        <a:xfrm>
          <a:off x="14316982" y="1280681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2135</xdr:colOff>
      <xdr:row>9</xdr:row>
      <xdr:rowOff>79964</xdr:rowOff>
    </xdr:from>
    <xdr:to>
      <xdr:col>61</xdr:col>
      <xdr:colOff>128766</xdr:colOff>
      <xdr:row>9</xdr:row>
      <xdr:rowOff>79964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8733531B-60AA-490C-9B58-8600F6F15668}"/>
            </a:ext>
          </a:extLst>
        </xdr:cNvPr>
        <xdr:cNvCxnSpPr/>
      </xdr:nvCxnSpPr>
      <xdr:spPr>
        <a:xfrm>
          <a:off x="13489535" y="2148250"/>
          <a:ext cx="583831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73192</xdr:colOff>
      <xdr:row>5</xdr:row>
      <xdr:rowOff>137681</xdr:rowOff>
    </xdr:from>
    <xdr:to>
      <xdr:col>64</xdr:col>
      <xdr:colOff>73192</xdr:colOff>
      <xdr:row>6</xdr:row>
      <xdr:rowOff>55906</xdr:rowOff>
    </xdr:to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52C3019D-38F4-4A1C-85E9-C675D1B565A9}"/>
            </a:ext>
          </a:extLst>
        </xdr:cNvPr>
        <xdr:cNvCxnSpPr/>
      </xdr:nvCxnSpPr>
      <xdr:spPr>
        <a:xfrm>
          <a:off x="14703592" y="1280681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143296</xdr:colOff>
      <xdr:row>5</xdr:row>
      <xdr:rowOff>175076</xdr:rowOff>
    </xdr:from>
    <xdr:to>
      <xdr:col>64</xdr:col>
      <xdr:colOff>73009</xdr:colOff>
      <xdr:row>5</xdr:row>
      <xdr:rowOff>175076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88E262A4-0D58-44A6-BA49-2ED610E2B261}"/>
            </a:ext>
          </a:extLst>
        </xdr:cNvPr>
        <xdr:cNvCxnSpPr/>
      </xdr:nvCxnSpPr>
      <xdr:spPr>
        <a:xfrm>
          <a:off x="14316496" y="1318076"/>
          <a:ext cx="38691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59</xdr:col>
      <xdr:colOff>106738</xdr:colOff>
      <xdr:row>16</xdr:row>
      <xdr:rowOff>55912</xdr:rowOff>
    </xdr:from>
    <xdr:ext cx="349135" cy="224998"/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6218904E-5740-4049-BF31-5A13E8D04702}"/>
            </a:ext>
          </a:extLst>
        </xdr:cNvPr>
        <xdr:cNvSpPr txBox="1"/>
      </xdr:nvSpPr>
      <xdr:spPr>
        <a:xfrm>
          <a:off x="13594138" y="3724398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59</xdr:col>
      <xdr:colOff>174749</xdr:colOff>
      <xdr:row>16</xdr:row>
      <xdr:rowOff>88615</xdr:rowOff>
    </xdr:from>
    <xdr:to>
      <xdr:col>61</xdr:col>
      <xdr:colOff>207635</xdr:colOff>
      <xdr:row>16</xdr:row>
      <xdr:rowOff>88615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0198923E-F975-4F49-AEF8-1386A7A35225}"/>
            </a:ext>
          </a:extLst>
        </xdr:cNvPr>
        <xdr:cNvCxnSpPr/>
      </xdr:nvCxnSpPr>
      <xdr:spPr>
        <a:xfrm>
          <a:off x="13662149" y="3757101"/>
          <a:ext cx="49008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176701</xdr:colOff>
      <xdr:row>16</xdr:row>
      <xdr:rowOff>24243</xdr:rowOff>
    </xdr:from>
    <xdr:to>
      <xdr:col>59</xdr:col>
      <xdr:colOff>176701</xdr:colOff>
      <xdr:row>16</xdr:row>
      <xdr:rowOff>134882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56689F6A-8227-4E0D-931D-931855F62506}"/>
            </a:ext>
          </a:extLst>
        </xdr:cNvPr>
        <xdr:cNvCxnSpPr/>
      </xdr:nvCxnSpPr>
      <xdr:spPr>
        <a:xfrm>
          <a:off x="13664101" y="3692729"/>
          <a:ext cx="0" cy="11063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218241</xdr:colOff>
      <xdr:row>16</xdr:row>
      <xdr:rowOff>13852</xdr:rowOff>
    </xdr:from>
    <xdr:to>
      <xdr:col>61</xdr:col>
      <xdr:colOff>218241</xdr:colOff>
      <xdr:row>16</xdr:row>
      <xdr:rowOff>122623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799807B3-D4A2-4D2D-8700-2B29DD82883E}"/>
            </a:ext>
          </a:extLst>
        </xdr:cNvPr>
        <xdr:cNvCxnSpPr/>
      </xdr:nvCxnSpPr>
      <xdr:spPr>
        <a:xfrm>
          <a:off x="14162841" y="3682338"/>
          <a:ext cx="0" cy="10877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66</xdr:col>
      <xdr:colOff>47989</xdr:colOff>
      <xdr:row>7</xdr:row>
      <xdr:rowOff>14287</xdr:rowOff>
    </xdr:from>
    <xdr:to>
      <xdr:col>68</xdr:col>
      <xdr:colOff>106649</xdr:colOff>
      <xdr:row>7</xdr:row>
      <xdr:rowOff>159010</xdr:rowOff>
    </xdr:to>
    <xdr:cxnSp macro="">
      <xdr:nvCxnSpPr>
        <xdr:cNvPr id="108" name="直線コネクタ 107">
          <a:extLst>
            <a:ext uri="{FF2B5EF4-FFF2-40B4-BE49-F238E27FC236}">
              <a16:creationId xmlns:a16="http://schemas.microsoft.com/office/drawing/2014/main" id="{236D783B-9BA7-4C36-8BD1-2245DE81AF99}"/>
            </a:ext>
          </a:extLst>
        </xdr:cNvPr>
        <xdr:cNvCxnSpPr/>
      </xdr:nvCxnSpPr>
      <xdr:spPr>
        <a:xfrm>
          <a:off x="15135589" y="1625373"/>
          <a:ext cx="515860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103782</xdr:colOff>
      <xdr:row>7</xdr:row>
      <xdr:rowOff>136064</xdr:rowOff>
    </xdr:from>
    <xdr:to>
      <xdr:col>68</xdr:col>
      <xdr:colOff>35223</xdr:colOff>
      <xdr:row>16</xdr:row>
      <xdr:rowOff>220087</xdr:rowOff>
    </xdr:to>
    <xdr:cxnSp macro="">
      <xdr:nvCxnSpPr>
        <xdr:cNvPr id="109" name="直線コネクタ 108">
          <a:extLst>
            <a:ext uri="{FF2B5EF4-FFF2-40B4-BE49-F238E27FC236}">
              <a16:creationId xmlns:a16="http://schemas.microsoft.com/office/drawing/2014/main" id="{571DDAB9-A280-4BCA-8C23-95B942A2C30B}"/>
            </a:ext>
          </a:extLst>
        </xdr:cNvPr>
        <xdr:cNvCxnSpPr/>
      </xdr:nvCxnSpPr>
      <xdr:spPr>
        <a:xfrm flipH="1">
          <a:off x="14962782" y="1747150"/>
          <a:ext cx="617241" cy="214142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115514</xdr:colOff>
      <xdr:row>16</xdr:row>
      <xdr:rowOff>85956</xdr:rowOff>
    </xdr:from>
    <xdr:to>
      <xdr:col>65</xdr:col>
      <xdr:colOff>109843</xdr:colOff>
      <xdr:row>16</xdr:row>
      <xdr:rowOff>215429</xdr:rowOff>
    </xdr:to>
    <xdr:cxnSp macro="">
      <xdr:nvCxnSpPr>
        <xdr:cNvPr id="111" name="直線コネクタ 110">
          <a:extLst>
            <a:ext uri="{FF2B5EF4-FFF2-40B4-BE49-F238E27FC236}">
              <a16:creationId xmlns:a16="http://schemas.microsoft.com/office/drawing/2014/main" id="{9FDEB125-B11E-4290-97E1-6E1043898EB8}"/>
            </a:ext>
          </a:extLst>
        </xdr:cNvPr>
        <xdr:cNvCxnSpPr/>
      </xdr:nvCxnSpPr>
      <xdr:spPr>
        <a:xfrm>
          <a:off x="14517314" y="3754442"/>
          <a:ext cx="451529" cy="12947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66</xdr:col>
      <xdr:colOff>150715</xdr:colOff>
      <xdr:row>11</xdr:row>
      <xdr:rowOff>204882</xdr:rowOff>
    </xdr:from>
    <xdr:ext cx="242374" cy="271228"/>
    <xdr:sp macro="" textlink="">
      <xdr:nvSpPr>
        <xdr:cNvPr id="113" name="テキスト ボックス 112">
          <a:extLst>
            <a:ext uri="{FF2B5EF4-FFF2-40B4-BE49-F238E27FC236}">
              <a16:creationId xmlns:a16="http://schemas.microsoft.com/office/drawing/2014/main" id="{C7918FB2-7F2E-4FB8-9E87-56A858F0FB2F}"/>
            </a:ext>
          </a:extLst>
        </xdr:cNvPr>
        <xdr:cNvSpPr txBox="1"/>
      </xdr:nvSpPr>
      <xdr:spPr>
        <a:xfrm rot="17220000">
          <a:off x="15223888" y="2744795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65</xdr:col>
      <xdr:colOff>133133</xdr:colOff>
      <xdr:row>9</xdr:row>
      <xdr:rowOff>109001</xdr:rowOff>
    </xdr:from>
    <xdr:ext cx="242374" cy="582980"/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4100360E-DE4D-461A-BD2A-791FC0578DD4}"/>
            </a:ext>
          </a:extLst>
        </xdr:cNvPr>
        <xdr:cNvSpPr txBox="1"/>
      </xdr:nvSpPr>
      <xdr:spPr>
        <a:xfrm rot="17233223">
          <a:off x="14821830" y="2347590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96585</xdr:colOff>
      <xdr:row>14</xdr:row>
      <xdr:rowOff>82060</xdr:rowOff>
    </xdr:from>
    <xdr:ext cx="242374" cy="305853"/>
    <xdr:sp macro="" textlink="">
      <xdr:nvSpPr>
        <xdr:cNvPr id="115" name="テキスト ボックス 114">
          <a:extLst>
            <a:ext uri="{FF2B5EF4-FFF2-40B4-BE49-F238E27FC236}">
              <a16:creationId xmlns:a16="http://schemas.microsoft.com/office/drawing/2014/main" id="{D5841AAB-EB9E-4CF1-A0EE-3FE2578D2290}"/>
            </a:ext>
          </a:extLst>
        </xdr:cNvPr>
        <xdr:cNvSpPr txBox="1"/>
      </xdr:nvSpPr>
      <xdr:spPr>
        <a:xfrm rot="17233223">
          <a:off x="14695245" y="3325086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64</xdr:col>
      <xdr:colOff>17424</xdr:colOff>
      <xdr:row>12</xdr:row>
      <xdr:rowOff>2631</xdr:rowOff>
    </xdr:from>
    <xdr:to>
      <xdr:col>65</xdr:col>
      <xdr:colOff>91210</xdr:colOff>
      <xdr:row>16</xdr:row>
      <xdr:rowOff>120873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A70B18B9-FD0C-4E69-A5F6-401ECF609E4B}"/>
            </a:ext>
          </a:extLst>
        </xdr:cNvPr>
        <xdr:cNvCxnSpPr/>
      </xdr:nvCxnSpPr>
      <xdr:spPr>
        <a:xfrm flipH="1">
          <a:off x="14647824" y="2756717"/>
          <a:ext cx="302386" cy="10326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65</xdr:col>
      <xdr:colOff>93801</xdr:colOff>
      <xdr:row>7</xdr:row>
      <xdr:rowOff>67041</xdr:rowOff>
    </xdr:from>
    <xdr:to>
      <xdr:col>66</xdr:col>
      <xdr:colOff>172384</xdr:colOff>
      <xdr:row>12</xdr:row>
      <xdr:rowOff>5260</xdr:rowOff>
    </xdr:to>
    <xdr:cxnSp macro="">
      <xdr:nvCxnSpPr>
        <xdr:cNvPr id="117" name="直線コネクタ 116">
          <a:extLst>
            <a:ext uri="{FF2B5EF4-FFF2-40B4-BE49-F238E27FC236}">
              <a16:creationId xmlns:a16="http://schemas.microsoft.com/office/drawing/2014/main" id="{B79D3A93-4BB3-45F1-8B51-CF1E7E393D55}"/>
            </a:ext>
          </a:extLst>
        </xdr:cNvPr>
        <xdr:cNvCxnSpPr/>
      </xdr:nvCxnSpPr>
      <xdr:spPr>
        <a:xfrm flipH="1">
          <a:off x="14952801" y="1678127"/>
          <a:ext cx="307183" cy="108121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64</xdr:col>
      <xdr:colOff>163957</xdr:colOff>
      <xdr:row>11</xdr:row>
      <xdr:rowOff>184878</xdr:rowOff>
    </xdr:from>
    <xdr:to>
      <xdr:col>65</xdr:col>
      <xdr:colOff>185477</xdr:colOff>
      <xdr:row>12</xdr:row>
      <xdr:rowOff>22174</xdr:rowOff>
    </xdr:to>
    <xdr:cxnSp macro="">
      <xdr:nvCxnSpPr>
        <xdr:cNvPr id="118" name="直線コネクタ 117">
          <a:extLst>
            <a:ext uri="{FF2B5EF4-FFF2-40B4-BE49-F238E27FC236}">
              <a16:creationId xmlns:a16="http://schemas.microsoft.com/office/drawing/2014/main" id="{5F9F7E01-A9AF-44E2-88CA-9FC965CDA024}"/>
            </a:ext>
          </a:extLst>
        </xdr:cNvPr>
        <xdr:cNvCxnSpPr/>
      </xdr:nvCxnSpPr>
      <xdr:spPr>
        <a:xfrm>
          <a:off x="14794357" y="2710364"/>
          <a:ext cx="250120" cy="6589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63</xdr:col>
      <xdr:colOff>138257</xdr:colOff>
      <xdr:row>7</xdr:row>
      <xdr:rowOff>197743</xdr:rowOff>
    </xdr:from>
    <xdr:to>
      <xdr:col>64</xdr:col>
      <xdr:colOff>202205</xdr:colOff>
      <xdr:row>9</xdr:row>
      <xdr:rowOff>8336</xdr:rowOff>
    </xdr:to>
    <xdr:sp macro="" textlink="">
      <xdr:nvSpPr>
        <xdr:cNvPr id="119" name="円弧 118">
          <a:extLst>
            <a:ext uri="{FF2B5EF4-FFF2-40B4-BE49-F238E27FC236}">
              <a16:creationId xmlns:a16="http://schemas.microsoft.com/office/drawing/2014/main" id="{604088BC-CB45-4499-ABA4-3DB163C7A2FB}"/>
            </a:ext>
          </a:extLst>
        </xdr:cNvPr>
        <xdr:cNvSpPr/>
      </xdr:nvSpPr>
      <xdr:spPr>
        <a:xfrm rot="11917365">
          <a:off x="14540057" y="1808829"/>
          <a:ext cx="292548" cy="267793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64</xdr:col>
      <xdr:colOff>71932</xdr:colOff>
      <xdr:row>6</xdr:row>
      <xdr:rowOff>97899</xdr:rowOff>
    </xdr:from>
    <xdr:to>
      <xdr:col>64</xdr:col>
      <xdr:colOff>71932</xdr:colOff>
      <xdr:row>9</xdr:row>
      <xdr:rowOff>75187</xdr:rowOff>
    </xdr:to>
    <xdr:cxnSp macro="">
      <xdr:nvCxnSpPr>
        <xdr:cNvPr id="122" name="直線コネクタ 121">
          <a:extLst>
            <a:ext uri="{FF2B5EF4-FFF2-40B4-BE49-F238E27FC236}">
              <a16:creationId xmlns:a16="http://schemas.microsoft.com/office/drawing/2014/main" id="{4DC7C6B0-19BC-4C09-85AF-F958176E5669}"/>
            </a:ext>
          </a:extLst>
        </xdr:cNvPr>
        <xdr:cNvCxnSpPr/>
      </xdr:nvCxnSpPr>
      <xdr:spPr>
        <a:xfrm>
          <a:off x="14702332" y="1480385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64</xdr:col>
      <xdr:colOff>15743</xdr:colOff>
      <xdr:row>8</xdr:row>
      <xdr:rowOff>166743</xdr:rowOff>
    </xdr:from>
    <xdr:ext cx="365165" cy="242374"/>
    <xdr:sp macro="" textlink="">
      <xdr:nvSpPr>
        <xdr:cNvPr id="123" name="テキスト ボックス 122">
          <a:extLst>
            <a:ext uri="{FF2B5EF4-FFF2-40B4-BE49-F238E27FC236}">
              <a16:creationId xmlns:a16="http://schemas.microsoft.com/office/drawing/2014/main" id="{7AD3BE6C-D9C4-49CB-9081-37778E45D6F8}"/>
            </a:ext>
          </a:extLst>
        </xdr:cNvPr>
        <xdr:cNvSpPr txBox="1"/>
      </xdr:nvSpPr>
      <xdr:spPr>
        <a:xfrm>
          <a:off x="14607743" y="2008743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219617</xdr:colOff>
      <xdr:row>8</xdr:row>
      <xdr:rowOff>162041</xdr:rowOff>
    </xdr:from>
    <xdr:ext cx="386644" cy="224998"/>
    <xdr:sp macro="" textlink="$BA$7">
      <xdr:nvSpPr>
        <xdr:cNvPr id="124" name="テキスト ボックス 123">
          <a:extLst>
            <a:ext uri="{FF2B5EF4-FFF2-40B4-BE49-F238E27FC236}">
              <a16:creationId xmlns:a16="http://schemas.microsoft.com/office/drawing/2014/main" id="{945D0F4F-61DE-44E1-A354-B15C78297339}"/>
            </a:ext>
          </a:extLst>
        </xdr:cNvPr>
        <xdr:cNvSpPr txBox="1"/>
      </xdr:nvSpPr>
      <xdr:spPr>
        <a:xfrm>
          <a:off x="14811617" y="2004041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C5008533-81D9-4B6A-A0C7-B8E8E95A43D1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209563</xdr:colOff>
      <xdr:row>5</xdr:row>
      <xdr:rowOff>230324</xdr:rowOff>
    </xdr:from>
    <xdr:ext cx="370486" cy="224998"/>
    <xdr:sp macro="" textlink="">
      <xdr:nvSpPr>
        <xdr:cNvPr id="125" name="テキスト ボックス 124">
          <a:extLst>
            <a:ext uri="{FF2B5EF4-FFF2-40B4-BE49-F238E27FC236}">
              <a16:creationId xmlns:a16="http://schemas.microsoft.com/office/drawing/2014/main" id="{29DBC129-C2D3-4FF6-BF56-788C13112B3D}"/>
            </a:ext>
          </a:extLst>
        </xdr:cNvPr>
        <xdr:cNvSpPr txBox="1"/>
      </xdr:nvSpPr>
      <xdr:spPr>
        <a:xfrm rot="1181880">
          <a:off x="14839963" y="1373324"/>
          <a:ext cx="37048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151778</xdr:colOff>
      <xdr:row>8</xdr:row>
      <xdr:rowOff>27605</xdr:rowOff>
    </xdr:from>
    <xdr:ext cx="396134" cy="224998"/>
    <xdr:sp macro="" textlink="">
      <xdr:nvSpPr>
        <xdr:cNvPr id="126" name="テキスト ボックス 125">
          <a:extLst>
            <a:ext uri="{FF2B5EF4-FFF2-40B4-BE49-F238E27FC236}">
              <a16:creationId xmlns:a16="http://schemas.microsoft.com/office/drawing/2014/main" id="{B1DB967D-E3DC-4B89-B686-1D5F53311BD4}"/>
            </a:ext>
          </a:extLst>
        </xdr:cNvPr>
        <xdr:cNvSpPr txBox="1"/>
      </xdr:nvSpPr>
      <xdr:spPr>
        <a:xfrm>
          <a:off x="14782178" y="1867291"/>
          <a:ext cx="39613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214294</xdr:colOff>
      <xdr:row>7</xdr:row>
      <xdr:rowOff>227370</xdr:rowOff>
    </xdr:from>
    <xdr:to>
      <xdr:col>65</xdr:col>
      <xdr:colOff>23399</xdr:colOff>
      <xdr:row>8</xdr:row>
      <xdr:rowOff>75131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40435DF8-3F96-4C84-AE8D-8F7FC9B370DF}"/>
            </a:ext>
          </a:extLst>
        </xdr:cNvPr>
        <xdr:cNvCxnSpPr/>
      </xdr:nvCxnSpPr>
      <xdr:spPr>
        <a:xfrm flipH="1" flipV="1">
          <a:off x="14616094" y="1838456"/>
          <a:ext cx="266305" cy="7636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62</xdr:col>
      <xdr:colOff>178286</xdr:colOff>
      <xdr:row>4</xdr:row>
      <xdr:rowOff>196784</xdr:rowOff>
    </xdr:from>
    <xdr:ext cx="444352" cy="224998"/>
    <xdr:sp macro="" textlink="'1.設計条件'!T7">
      <xdr:nvSpPr>
        <xdr:cNvPr id="157" name="テキスト ボックス 156">
          <a:extLst>
            <a:ext uri="{FF2B5EF4-FFF2-40B4-BE49-F238E27FC236}">
              <a16:creationId xmlns:a16="http://schemas.microsoft.com/office/drawing/2014/main" id="{CBABE797-FBA1-490A-B7EC-6F0EE8285452}"/>
            </a:ext>
          </a:extLst>
        </xdr:cNvPr>
        <xdr:cNvSpPr txBox="1"/>
      </xdr:nvSpPr>
      <xdr:spPr>
        <a:xfrm>
          <a:off x="14351486" y="111118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60</xdr:col>
      <xdr:colOff>80189</xdr:colOff>
      <xdr:row>16</xdr:row>
      <xdr:rowOff>47287</xdr:rowOff>
    </xdr:from>
    <xdr:ext cx="444352" cy="224998"/>
    <xdr:sp macro="" textlink="'1.設計条件'!T9">
      <xdr:nvSpPr>
        <xdr:cNvPr id="163" name="テキスト ボックス 162">
          <a:extLst>
            <a:ext uri="{FF2B5EF4-FFF2-40B4-BE49-F238E27FC236}">
              <a16:creationId xmlns:a16="http://schemas.microsoft.com/office/drawing/2014/main" id="{676809D4-C12C-45F7-9101-B19E6187C15E}"/>
            </a:ext>
          </a:extLst>
        </xdr:cNvPr>
        <xdr:cNvSpPr txBox="1"/>
      </xdr:nvSpPr>
      <xdr:spPr>
        <a:xfrm>
          <a:off x="13796189" y="371577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EE58D92-0B23-4CA2-BDD0-F978EBFA76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62</xdr:col>
      <xdr:colOff>148500</xdr:colOff>
      <xdr:row>6</xdr:row>
      <xdr:rowOff>99124</xdr:rowOff>
    </xdr:from>
    <xdr:to>
      <xdr:col>64</xdr:col>
      <xdr:colOff>82945</xdr:colOff>
      <xdr:row>6</xdr:row>
      <xdr:rowOff>99124</xdr:rowOff>
    </xdr:to>
    <xdr:cxnSp macro="">
      <xdr:nvCxnSpPr>
        <xdr:cNvPr id="164" name="直線コネクタ 163">
          <a:extLst>
            <a:ext uri="{FF2B5EF4-FFF2-40B4-BE49-F238E27FC236}">
              <a16:creationId xmlns:a16="http://schemas.microsoft.com/office/drawing/2014/main" id="{5EAEA0C2-FDF8-48E6-AA5D-17D914187F60}"/>
            </a:ext>
          </a:extLst>
        </xdr:cNvPr>
        <xdr:cNvCxnSpPr/>
      </xdr:nvCxnSpPr>
      <xdr:spPr>
        <a:xfrm>
          <a:off x="14321700" y="1481610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15407</xdr:colOff>
      <xdr:row>6</xdr:row>
      <xdr:rowOff>95620</xdr:rowOff>
    </xdr:from>
    <xdr:to>
      <xdr:col>62</xdr:col>
      <xdr:colOff>147733</xdr:colOff>
      <xdr:row>15</xdr:row>
      <xdr:rowOff>97555</xdr:rowOff>
    </xdr:to>
    <xdr:cxnSp macro="">
      <xdr:nvCxnSpPr>
        <xdr:cNvPr id="165" name="直線コネクタ 164">
          <a:extLst>
            <a:ext uri="{FF2B5EF4-FFF2-40B4-BE49-F238E27FC236}">
              <a16:creationId xmlns:a16="http://schemas.microsoft.com/office/drawing/2014/main" id="{157F42CC-D653-4405-A83E-CC8556EF2AD8}"/>
            </a:ext>
          </a:extLst>
        </xdr:cNvPr>
        <xdr:cNvCxnSpPr/>
      </xdr:nvCxnSpPr>
      <xdr:spPr>
        <a:xfrm flipH="1">
          <a:off x="13731407" y="1478106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59</xdr:col>
      <xdr:colOff>201859</xdr:colOff>
      <xdr:row>15</xdr:row>
      <xdr:rowOff>101909</xdr:rowOff>
    </xdr:from>
    <xdr:to>
      <xdr:col>61</xdr:col>
      <xdr:colOff>208305</xdr:colOff>
      <xdr:row>15</xdr:row>
      <xdr:rowOff>209909</xdr:rowOff>
    </xdr:to>
    <xdr:sp macro="" textlink="">
      <xdr:nvSpPr>
        <xdr:cNvPr id="166" name="正方形/長方形 165">
          <a:extLst>
            <a:ext uri="{FF2B5EF4-FFF2-40B4-BE49-F238E27FC236}">
              <a16:creationId xmlns:a16="http://schemas.microsoft.com/office/drawing/2014/main" id="{41A4B461-0F45-47D4-8D24-A1672FBFFED4}"/>
            </a:ext>
          </a:extLst>
        </xdr:cNvPr>
        <xdr:cNvSpPr/>
      </xdr:nvSpPr>
      <xdr:spPr>
        <a:xfrm>
          <a:off x="13689259" y="3541795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61</xdr:col>
      <xdr:colOff>88096</xdr:colOff>
      <xdr:row>6</xdr:row>
      <xdr:rowOff>222597</xdr:rowOff>
    </xdr:from>
    <xdr:to>
      <xdr:col>63</xdr:col>
      <xdr:colOff>186235</xdr:colOff>
      <xdr:row>15</xdr:row>
      <xdr:rowOff>97964</xdr:rowOff>
    </xdr:to>
    <xdr:cxnSp macro="">
      <xdr:nvCxnSpPr>
        <xdr:cNvPr id="167" name="直線コネクタ 166">
          <a:extLst>
            <a:ext uri="{FF2B5EF4-FFF2-40B4-BE49-F238E27FC236}">
              <a16:creationId xmlns:a16="http://schemas.microsoft.com/office/drawing/2014/main" id="{406B1D4C-887D-4C52-8BF1-4B06E2327C25}"/>
            </a:ext>
          </a:extLst>
        </xdr:cNvPr>
        <xdr:cNvCxnSpPr/>
      </xdr:nvCxnSpPr>
      <xdr:spPr>
        <a:xfrm flipH="1">
          <a:off x="14032696" y="1605083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118018</xdr:colOff>
      <xdr:row>13</xdr:row>
      <xdr:rowOff>203627</xdr:rowOff>
    </xdr:from>
    <xdr:to>
      <xdr:col>61</xdr:col>
      <xdr:colOff>193152</xdr:colOff>
      <xdr:row>13</xdr:row>
      <xdr:rowOff>203627</xdr:rowOff>
    </xdr:to>
    <xdr:cxnSp macro="">
      <xdr:nvCxnSpPr>
        <xdr:cNvPr id="168" name="直線コネクタ 167">
          <a:extLst>
            <a:ext uri="{FF2B5EF4-FFF2-40B4-BE49-F238E27FC236}">
              <a16:creationId xmlns:a16="http://schemas.microsoft.com/office/drawing/2014/main" id="{6CA1FD70-D4B4-4FC0-B67E-893ACDE02189}"/>
            </a:ext>
          </a:extLst>
        </xdr:cNvPr>
        <xdr:cNvCxnSpPr/>
      </xdr:nvCxnSpPr>
      <xdr:spPr>
        <a:xfrm>
          <a:off x="13834018" y="3186313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218167</xdr:colOff>
      <xdr:row>12</xdr:row>
      <xdr:rowOff>90415</xdr:rowOff>
    </xdr:from>
    <xdr:to>
      <xdr:col>62</xdr:col>
      <xdr:colOff>62524</xdr:colOff>
      <xdr:row>12</xdr:row>
      <xdr:rowOff>90415</xdr:rowOff>
    </xdr:to>
    <xdr:cxnSp macro="">
      <xdr:nvCxnSpPr>
        <xdr:cNvPr id="169" name="直線コネクタ 168">
          <a:extLst>
            <a:ext uri="{FF2B5EF4-FFF2-40B4-BE49-F238E27FC236}">
              <a16:creationId xmlns:a16="http://schemas.microsoft.com/office/drawing/2014/main" id="{21107E3F-7CCE-4A35-ABCD-143928F47C4F}"/>
            </a:ext>
          </a:extLst>
        </xdr:cNvPr>
        <xdr:cNvCxnSpPr/>
      </xdr:nvCxnSpPr>
      <xdr:spPr>
        <a:xfrm>
          <a:off x="13934167" y="2844501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83184</xdr:colOff>
      <xdr:row>10</xdr:row>
      <xdr:rowOff>199273</xdr:rowOff>
    </xdr:from>
    <xdr:to>
      <xdr:col>62</xdr:col>
      <xdr:colOff>158318</xdr:colOff>
      <xdr:row>10</xdr:row>
      <xdr:rowOff>199273</xdr:rowOff>
    </xdr:to>
    <xdr:cxnSp macro="">
      <xdr:nvCxnSpPr>
        <xdr:cNvPr id="170" name="直線コネクタ 169">
          <a:extLst>
            <a:ext uri="{FF2B5EF4-FFF2-40B4-BE49-F238E27FC236}">
              <a16:creationId xmlns:a16="http://schemas.microsoft.com/office/drawing/2014/main" id="{A3BE8C57-5A42-46BA-B0C1-492B2A3964EC}"/>
            </a:ext>
          </a:extLst>
        </xdr:cNvPr>
        <xdr:cNvCxnSpPr/>
      </xdr:nvCxnSpPr>
      <xdr:spPr>
        <a:xfrm>
          <a:off x="14027784" y="2496159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61</xdr:col>
      <xdr:colOff>187687</xdr:colOff>
      <xdr:row>9</xdr:row>
      <xdr:rowOff>75175</xdr:rowOff>
    </xdr:from>
    <xdr:to>
      <xdr:col>63</xdr:col>
      <xdr:colOff>40571</xdr:colOff>
      <xdr:row>9</xdr:row>
      <xdr:rowOff>75175</xdr:rowOff>
    </xdr:to>
    <xdr:cxnSp macro="">
      <xdr:nvCxnSpPr>
        <xdr:cNvPr id="171" name="直線コネクタ 170">
          <a:extLst>
            <a:ext uri="{FF2B5EF4-FFF2-40B4-BE49-F238E27FC236}">
              <a16:creationId xmlns:a16="http://schemas.microsoft.com/office/drawing/2014/main" id="{3311CCA5-C40F-4390-8B13-3D822316719C}"/>
            </a:ext>
          </a:extLst>
        </xdr:cNvPr>
        <xdr:cNvCxnSpPr/>
      </xdr:nvCxnSpPr>
      <xdr:spPr>
        <a:xfrm>
          <a:off x="14132287" y="2143461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65767</xdr:colOff>
      <xdr:row>7</xdr:row>
      <xdr:rowOff>186209</xdr:rowOff>
    </xdr:from>
    <xdr:to>
      <xdr:col>63</xdr:col>
      <xdr:colOff>140901</xdr:colOff>
      <xdr:row>7</xdr:row>
      <xdr:rowOff>186209</xdr:rowOff>
    </xdr:to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EC97C01E-D388-4EEA-852B-834AC5E36A91}"/>
            </a:ext>
          </a:extLst>
        </xdr:cNvPr>
        <xdr:cNvCxnSpPr/>
      </xdr:nvCxnSpPr>
      <xdr:spPr>
        <a:xfrm>
          <a:off x="14238967" y="1797295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62</xdr:col>
      <xdr:colOff>104547</xdr:colOff>
      <xdr:row>6</xdr:row>
      <xdr:rowOff>217098</xdr:rowOff>
    </xdr:from>
    <xdr:to>
      <xdr:col>64</xdr:col>
      <xdr:colOff>55448</xdr:colOff>
      <xdr:row>6</xdr:row>
      <xdr:rowOff>217098</xdr:rowOff>
    </xdr:to>
    <xdr:cxnSp macro="">
      <xdr:nvCxnSpPr>
        <xdr:cNvPr id="173" name="直線コネクタ 172">
          <a:extLst>
            <a:ext uri="{FF2B5EF4-FFF2-40B4-BE49-F238E27FC236}">
              <a16:creationId xmlns:a16="http://schemas.microsoft.com/office/drawing/2014/main" id="{6CCF6D14-1CF2-46C5-84EF-B46EE9B0B4CC}"/>
            </a:ext>
          </a:extLst>
        </xdr:cNvPr>
        <xdr:cNvCxnSpPr/>
      </xdr:nvCxnSpPr>
      <xdr:spPr>
        <a:xfrm>
          <a:off x="14277747" y="1599584"/>
          <a:ext cx="40810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65</xdr:col>
      <xdr:colOff>167645</xdr:colOff>
      <xdr:row>8</xdr:row>
      <xdr:rowOff>19081</xdr:rowOff>
    </xdr:from>
    <xdr:ext cx="502061" cy="224998"/>
    <xdr:sp macro="" textlink="$BA$5">
      <xdr:nvSpPr>
        <xdr:cNvPr id="181" name="テキスト ボックス 180">
          <a:extLst>
            <a:ext uri="{FF2B5EF4-FFF2-40B4-BE49-F238E27FC236}">
              <a16:creationId xmlns:a16="http://schemas.microsoft.com/office/drawing/2014/main" id="{86C46069-2036-A201-FEDC-B52CA1DBCD54}"/>
            </a:ext>
          </a:extLst>
        </xdr:cNvPr>
        <xdr:cNvSpPr txBox="1"/>
      </xdr:nvSpPr>
      <xdr:spPr>
        <a:xfrm>
          <a:off x="15026645" y="1865466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09446F5-57D5-466E-8EF8-4197511FF4C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11.179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79793</xdr:colOff>
      <xdr:row>9</xdr:row>
      <xdr:rowOff>102115</xdr:rowOff>
    </xdr:from>
    <xdr:ext cx="242374" cy="444352"/>
    <xdr:sp macro="" textlink="$AQ$7">
      <xdr:nvSpPr>
        <xdr:cNvPr id="182" name="テキスト ボックス 181">
          <a:extLst>
            <a:ext uri="{FF2B5EF4-FFF2-40B4-BE49-F238E27FC236}">
              <a16:creationId xmlns:a16="http://schemas.microsoft.com/office/drawing/2014/main" id="{D7296045-E10F-1E69-24F9-0D98A12EC08A}"/>
            </a:ext>
          </a:extLst>
        </xdr:cNvPr>
        <xdr:cNvSpPr txBox="1"/>
      </xdr:nvSpPr>
      <xdr:spPr>
        <a:xfrm rot="17233223">
          <a:off x="15066404" y="2271390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2CCD555-D589-4A6A-89DF-E157EE6B33C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3.942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18833</xdr:colOff>
      <xdr:row>10</xdr:row>
      <xdr:rowOff>153697</xdr:rowOff>
    </xdr:from>
    <xdr:ext cx="242374" cy="249748"/>
    <xdr:sp macro="" textlink="$AQ$7">
      <xdr:nvSpPr>
        <xdr:cNvPr id="183" name="テキスト ボックス 182">
          <a:extLst>
            <a:ext uri="{FF2B5EF4-FFF2-40B4-BE49-F238E27FC236}">
              <a16:creationId xmlns:a16="http://schemas.microsoft.com/office/drawing/2014/main" id="{09588D70-5146-EB60-400C-1C37D7D41DDA}"/>
            </a:ext>
          </a:extLst>
        </xdr:cNvPr>
        <xdr:cNvSpPr txBox="1"/>
      </xdr:nvSpPr>
      <xdr:spPr>
        <a:xfrm rot="17233223">
          <a:off x="15102746" y="2454270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171234</xdr:colOff>
      <xdr:row>11</xdr:row>
      <xdr:rowOff>107977</xdr:rowOff>
    </xdr:from>
    <xdr:ext cx="242374" cy="249748"/>
    <xdr:sp macro="" textlink="$AQ$7">
      <xdr:nvSpPr>
        <xdr:cNvPr id="184" name="テキスト ボックス 183">
          <a:extLst>
            <a:ext uri="{FF2B5EF4-FFF2-40B4-BE49-F238E27FC236}">
              <a16:creationId xmlns:a16="http://schemas.microsoft.com/office/drawing/2014/main" id="{7C6A4FD4-D8B6-BFDD-6B58-D8769FE7A733}"/>
            </a:ext>
          </a:extLst>
        </xdr:cNvPr>
        <xdr:cNvSpPr txBox="1"/>
      </xdr:nvSpPr>
      <xdr:spPr>
        <a:xfrm rot="17233223">
          <a:off x="15255147" y="2637150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66</xdr:col>
      <xdr:colOff>224572</xdr:colOff>
      <xdr:row>10</xdr:row>
      <xdr:rowOff>41155</xdr:rowOff>
    </xdr:from>
    <xdr:ext cx="242374" cy="444352"/>
    <xdr:sp macro="" textlink="$AQ$5">
      <xdr:nvSpPr>
        <xdr:cNvPr id="185" name="テキスト ボックス 184">
          <a:extLst>
            <a:ext uri="{FF2B5EF4-FFF2-40B4-BE49-F238E27FC236}">
              <a16:creationId xmlns:a16="http://schemas.microsoft.com/office/drawing/2014/main" id="{B33788D7-A486-57E7-E60F-E29E30580105}"/>
            </a:ext>
          </a:extLst>
        </xdr:cNvPr>
        <xdr:cNvSpPr txBox="1"/>
      </xdr:nvSpPr>
      <xdr:spPr>
        <a:xfrm rot="17233223">
          <a:off x="15211183" y="2439030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005E04E-EA04-40EC-ACD3-DAF6C1DAA75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6.570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173161</xdr:colOff>
      <xdr:row>6</xdr:row>
      <xdr:rowOff>88185</xdr:rowOff>
    </xdr:from>
    <xdr:ext cx="444352" cy="224998"/>
    <xdr:sp macro="" textlink="$BA$6">
      <xdr:nvSpPr>
        <xdr:cNvPr id="186" name="テキスト ボックス 185">
          <a:extLst>
            <a:ext uri="{FF2B5EF4-FFF2-40B4-BE49-F238E27FC236}">
              <a16:creationId xmlns:a16="http://schemas.microsoft.com/office/drawing/2014/main" id="{E2E64195-F2A7-7392-DF46-87ED0180A6C7}"/>
            </a:ext>
          </a:extLst>
        </xdr:cNvPr>
        <xdr:cNvSpPr txBox="1"/>
      </xdr:nvSpPr>
      <xdr:spPr>
        <a:xfrm rot="1249213">
          <a:off x="15032161" y="147737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CBD86F3-89BB-4776-A381-052E1BA3792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5.672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63</xdr:col>
      <xdr:colOff>52837</xdr:colOff>
      <xdr:row>9</xdr:row>
      <xdr:rowOff>76639</xdr:rowOff>
    </xdr:from>
    <xdr:to>
      <xdr:col>63</xdr:col>
      <xdr:colOff>134527</xdr:colOff>
      <xdr:row>11</xdr:row>
      <xdr:rowOff>89678</xdr:rowOff>
    </xdr:to>
    <xdr:sp macro="" textlink="">
      <xdr:nvSpPr>
        <xdr:cNvPr id="187" name="直角三角形 186">
          <a:extLst>
            <a:ext uri="{FF2B5EF4-FFF2-40B4-BE49-F238E27FC236}">
              <a16:creationId xmlns:a16="http://schemas.microsoft.com/office/drawing/2014/main" id="{0B0A8A33-BBE3-4A88-8B5C-51D92889CCCE}"/>
            </a:ext>
          </a:extLst>
        </xdr:cNvPr>
        <xdr:cNvSpPr/>
      </xdr:nvSpPr>
      <xdr:spPr>
        <a:xfrm rot="11760000" flipH="1">
          <a:off x="14454637" y="2144925"/>
          <a:ext cx="81690" cy="470239"/>
        </a:xfrm>
        <a:prstGeom prst="rtTriangle">
          <a:avLst/>
        </a:prstGeom>
        <a:solidFill>
          <a:schemeClr val="bg1">
            <a:lumMod val="85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63</xdr:col>
      <xdr:colOff>140662</xdr:colOff>
      <xdr:row>9</xdr:row>
      <xdr:rowOff>42177</xdr:rowOff>
    </xdr:from>
    <xdr:ext cx="317266" cy="224998"/>
    <xdr:sp macro="" textlink="">
      <xdr:nvSpPr>
        <xdr:cNvPr id="188" name="テキスト ボックス 187">
          <a:extLst>
            <a:ext uri="{FF2B5EF4-FFF2-40B4-BE49-F238E27FC236}">
              <a16:creationId xmlns:a16="http://schemas.microsoft.com/office/drawing/2014/main" id="{DF966554-B80E-C77E-3F65-CBA5A3CD2DB3}"/>
            </a:ext>
          </a:extLst>
        </xdr:cNvPr>
        <xdr:cNvSpPr txBox="1"/>
      </xdr:nvSpPr>
      <xdr:spPr>
        <a:xfrm rot="1331345">
          <a:off x="14542462" y="2110463"/>
          <a:ext cx="31726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'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60</xdr:col>
      <xdr:colOff>61430</xdr:colOff>
      <xdr:row>5</xdr:row>
      <xdr:rowOff>152361</xdr:rowOff>
    </xdr:from>
    <xdr:to>
      <xdr:col>61</xdr:col>
      <xdr:colOff>17101</xdr:colOff>
      <xdr:row>8</xdr:row>
      <xdr:rowOff>95296</xdr:rowOff>
    </xdr:to>
    <xdr:cxnSp macro="">
      <xdr:nvCxnSpPr>
        <xdr:cNvPr id="191" name="直線コネクタ 190">
          <a:extLst>
            <a:ext uri="{FF2B5EF4-FFF2-40B4-BE49-F238E27FC236}">
              <a16:creationId xmlns:a16="http://schemas.microsoft.com/office/drawing/2014/main" id="{30915086-AA47-E80F-03B0-CAC6E4ADE5FC}"/>
            </a:ext>
          </a:extLst>
        </xdr:cNvPr>
        <xdr:cNvCxnSpPr/>
      </xdr:nvCxnSpPr>
      <xdr:spPr>
        <a:xfrm flipH="1">
          <a:off x="13777430" y="1295361"/>
          <a:ext cx="184271" cy="63962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4251</xdr:colOff>
      <xdr:row>8</xdr:row>
      <xdr:rowOff>79154</xdr:rowOff>
    </xdr:from>
    <xdr:to>
      <xdr:col>60</xdr:col>
      <xdr:colOff>207401</xdr:colOff>
      <xdr:row>8</xdr:row>
      <xdr:rowOff>134943</xdr:rowOff>
    </xdr:to>
    <xdr:cxnSp macro="">
      <xdr:nvCxnSpPr>
        <xdr:cNvPr id="192" name="直線コネクタ 191">
          <a:extLst>
            <a:ext uri="{FF2B5EF4-FFF2-40B4-BE49-F238E27FC236}">
              <a16:creationId xmlns:a16="http://schemas.microsoft.com/office/drawing/2014/main" id="{0A344944-E702-34C5-55DD-1C3F275C22B3}"/>
            </a:ext>
          </a:extLst>
        </xdr:cNvPr>
        <xdr:cNvCxnSpPr/>
      </xdr:nvCxnSpPr>
      <xdr:spPr>
        <a:xfrm>
          <a:off x="13720251" y="1918840"/>
          <a:ext cx="203150" cy="5578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60</xdr:col>
      <xdr:colOff>198692</xdr:colOff>
      <xdr:row>5</xdr:row>
      <xdr:rowOff>131677</xdr:rowOff>
    </xdr:from>
    <xdr:to>
      <xdr:col>61</xdr:col>
      <xdr:colOff>165936</xdr:colOff>
      <xdr:row>5</xdr:row>
      <xdr:rowOff>185478</xdr:rowOff>
    </xdr:to>
    <xdr:cxnSp macro="">
      <xdr:nvCxnSpPr>
        <xdr:cNvPr id="194" name="直線コネクタ 193">
          <a:extLst>
            <a:ext uri="{FF2B5EF4-FFF2-40B4-BE49-F238E27FC236}">
              <a16:creationId xmlns:a16="http://schemas.microsoft.com/office/drawing/2014/main" id="{314D07B5-F097-53B0-54CB-02EED0C60F8A}"/>
            </a:ext>
          </a:extLst>
        </xdr:cNvPr>
        <xdr:cNvCxnSpPr/>
      </xdr:nvCxnSpPr>
      <xdr:spPr>
        <a:xfrm>
          <a:off x="13914692" y="1274677"/>
          <a:ext cx="195844" cy="53801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59</xdr:col>
      <xdr:colOff>177819</xdr:colOff>
      <xdr:row>6</xdr:row>
      <xdr:rowOff>109653</xdr:rowOff>
    </xdr:from>
    <xdr:ext cx="224998" cy="286297"/>
    <xdr:sp macro="" textlink="">
      <xdr:nvSpPr>
        <xdr:cNvPr id="197" name="テキスト ボックス 196">
          <a:extLst>
            <a:ext uri="{FF2B5EF4-FFF2-40B4-BE49-F238E27FC236}">
              <a16:creationId xmlns:a16="http://schemas.microsoft.com/office/drawing/2014/main" id="{63948DC8-23C7-7391-1FF7-577DB27E7559}"/>
            </a:ext>
          </a:extLst>
        </xdr:cNvPr>
        <xdr:cNvSpPr txBox="1"/>
      </xdr:nvSpPr>
      <xdr:spPr>
        <a:xfrm rot="17233223">
          <a:off x="13634569" y="1522789"/>
          <a:ext cx="28629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i</a:t>
          </a:r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'</a:t>
          </a:r>
          <a:endParaRPr kumimoji="1" lang="ja-JP" altLang="en-US" sz="900" i="1">
            <a:solidFill>
              <a:srgbClr val="FF0000"/>
            </a:solidFill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63</xdr:col>
      <xdr:colOff>220666</xdr:colOff>
      <xdr:row>7</xdr:row>
      <xdr:rowOff>171048</xdr:rowOff>
    </xdr:from>
    <xdr:to>
      <xdr:col>64</xdr:col>
      <xdr:colOff>183964</xdr:colOff>
      <xdr:row>8</xdr:row>
      <xdr:rowOff>1955</xdr:rowOff>
    </xdr:to>
    <xdr:cxnSp macro="">
      <xdr:nvCxnSpPr>
        <xdr:cNvPr id="206" name="直線コネクタ 205">
          <a:extLst>
            <a:ext uri="{FF2B5EF4-FFF2-40B4-BE49-F238E27FC236}">
              <a16:creationId xmlns:a16="http://schemas.microsoft.com/office/drawing/2014/main" id="{080B9BDB-043C-EAE7-42D3-85FC07580FB9}"/>
            </a:ext>
          </a:extLst>
        </xdr:cNvPr>
        <xdr:cNvCxnSpPr/>
      </xdr:nvCxnSpPr>
      <xdr:spPr>
        <a:xfrm flipH="1" flipV="1">
          <a:off x="14622466" y="1782134"/>
          <a:ext cx="191898" cy="55025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64</xdr:col>
      <xdr:colOff>167018</xdr:colOff>
      <xdr:row>7</xdr:row>
      <xdr:rowOff>103805</xdr:rowOff>
    </xdr:from>
    <xdr:ext cx="369525" cy="224998"/>
    <xdr:sp macro="" textlink="">
      <xdr:nvSpPr>
        <xdr:cNvPr id="208" name="テキスト ボックス 207">
          <a:extLst>
            <a:ext uri="{FF2B5EF4-FFF2-40B4-BE49-F238E27FC236}">
              <a16:creationId xmlns:a16="http://schemas.microsoft.com/office/drawing/2014/main" id="{414503EB-DFC0-BCFF-4336-B889C067BDAC}"/>
            </a:ext>
          </a:extLst>
        </xdr:cNvPr>
        <xdr:cNvSpPr txBox="1"/>
      </xdr:nvSpPr>
      <xdr:spPr>
        <a:xfrm>
          <a:off x="14797418" y="1714891"/>
          <a:ext cx="36952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tzi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136406</xdr:colOff>
      <xdr:row>2</xdr:row>
      <xdr:rowOff>35065</xdr:rowOff>
    </xdr:from>
    <xdr:to>
      <xdr:col>100</xdr:col>
      <xdr:colOff>71540</xdr:colOff>
      <xdr:row>11</xdr:row>
      <xdr:rowOff>21760</xdr:rowOff>
    </xdr:to>
    <xdr:cxnSp macro="">
      <xdr:nvCxnSpPr>
        <xdr:cNvPr id="227" name="直線コネクタ 226">
          <a:extLst>
            <a:ext uri="{FF2B5EF4-FFF2-40B4-BE49-F238E27FC236}">
              <a16:creationId xmlns:a16="http://schemas.microsoft.com/office/drawing/2014/main" id="{E5198440-C039-447E-FD99-A0745C5A864A}"/>
            </a:ext>
          </a:extLst>
        </xdr:cNvPr>
        <xdr:cNvCxnSpPr/>
      </xdr:nvCxnSpPr>
      <xdr:spPr>
        <a:xfrm flipH="1">
          <a:off x="22016692" y="492265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99</xdr:col>
      <xdr:colOff>124386</xdr:colOff>
      <xdr:row>2</xdr:row>
      <xdr:rowOff>63047</xdr:rowOff>
    </xdr:from>
    <xdr:to>
      <xdr:col>100</xdr:col>
      <xdr:colOff>104183</xdr:colOff>
      <xdr:row>7</xdr:row>
      <xdr:rowOff>38865</xdr:rowOff>
    </xdr:to>
    <xdr:sp macro="" textlink="">
      <xdr:nvSpPr>
        <xdr:cNvPr id="228" name="直角三角形 227">
          <a:extLst>
            <a:ext uri="{FF2B5EF4-FFF2-40B4-BE49-F238E27FC236}">
              <a16:creationId xmlns:a16="http://schemas.microsoft.com/office/drawing/2014/main" id="{30E017D6-B562-9684-7187-2B8272722386}"/>
            </a:ext>
          </a:extLst>
        </xdr:cNvPr>
        <xdr:cNvSpPr/>
      </xdr:nvSpPr>
      <xdr:spPr>
        <a:xfrm rot="11760000" flipH="1">
          <a:off x="22440100" y="520247"/>
          <a:ext cx="197512" cy="1118818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94</xdr:col>
      <xdr:colOff>25321</xdr:colOff>
      <xdr:row>2</xdr:row>
      <xdr:rowOff>156652</xdr:rowOff>
    </xdr:from>
    <xdr:ext cx="224998" cy="290464"/>
    <xdr:sp macro="" textlink="">
      <xdr:nvSpPr>
        <xdr:cNvPr id="229" name="テキスト ボックス 228">
          <a:extLst>
            <a:ext uri="{FF2B5EF4-FFF2-40B4-BE49-F238E27FC236}">
              <a16:creationId xmlns:a16="http://schemas.microsoft.com/office/drawing/2014/main" id="{E0DABD30-DE71-E70C-2143-7A1896F7CC20}"/>
            </a:ext>
          </a:extLst>
        </xdr:cNvPr>
        <xdr:cNvSpPr txBox="1"/>
      </xdr:nvSpPr>
      <xdr:spPr>
        <a:xfrm rot="16200000">
          <a:off x="21219731" y="646585"/>
          <a:ext cx="2904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97</xdr:col>
      <xdr:colOff>155681</xdr:colOff>
      <xdr:row>0</xdr:row>
      <xdr:rowOff>120580</xdr:rowOff>
    </xdr:from>
    <xdr:ext cx="336311" cy="224998"/>
    <xdr:sp macro="" textlink="">
      <xdr:nvSpPr>
        <xdr:cNvPr id="230" name="テキスト ボックス 229">
          <a:extLst>
            <a:ext uri="{FF2B5EF4-FFF2-40B4-BE49-F238E27FC236}">
              <a16:creationId xmlns:a16="http://schemas.microsoft.com/office/drawing/2014/main" id="{D6ADB4BB-9E5E-7645-88A6-4CFA8B3F4B76}"/>
            </a:ext>
          </a:extLst>
        </xdr:cNvPr>
        <xdr:cNvSpPr txBox="1"/>
      </xdr:nvSpPr>
      <xdr:spPr>
        <a:xfrm>
          <a:off x="22035967" y="120580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160363</xdr:colOff>
      <xdr:row>2</xdr:row>
      <xdr:rowOff>34486</xdr:rowOff>
    </xdr:from>
    <xdr:to>
      <xdr:col>96</xdr:col>
      <xdr:colOff>100360</xdr:colOff>
      <xdr:row>2</xdr:row>
      <xdr:rowOff>34486</xdr:rowOff>
    </xdr:to>
    <xdr:cxnSp macro="">
      <xdr:nvCxnSpPr>
        <xdr:cNvPr id="231" name="直線コネクタ 230">
          <a:extLst>
            <a:ext uri="{FF2B5EF4-FFF2-40B4-BE49-F238E27FC236}">
              <a16:creationId xmlns:a16="http://schemas.microsoft.com/office/drawing/2014/main" id="{7D250837-D6FC-CC8F-3DCB-1C86AB346801}"/>
            </a:ext>
          </a:extLst>
        </xdr:cNvPr>
        <xdr:cNvCxnSpPr/>
      </xdr:nvCxnSpPr>
      <xdr:spPr>
        <a:xfrm>
          <a:off x="21387506" y="491686"/>
          <a:ext cx="375425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203873</xdr:colOff>
      <xdr:row>2</xdr:row>
      <xdr:rowOff>44878</xdr:rowOff>
    </xdr:from>
    <xdr:to>
      <xdr:col>94</xdr:col>
      <xdr:colOff>203873</xdr:colOff>
      <xdr:row>5</xdr:row>
      <xdr:rowOff>22609</xdr:rowOff>
    </xdr:to>
    <xdr:cxnSp macro="">
      <xdr:nvCxnSpPr>
        <xdr:cNvPr id="232" name="直線コネクタ 231">
          <a:extLst>
            <a:ext uri="{FF2B5EF4-FFF2-40B4-BE49-F238E27FC236}">
              <a16:creationId xmlns:a16="http://schemas.microsoft.com/office/drawing/2014/main" id="{0282D19C-0EFC-83D3-F2C6-FF0483FC91E7}"/>
            </a:ext>
          </a:extLst>
        </xdr:cNvPr>
        <xdr:cNvCxnSpPr/>
      </xdr:nvCxnSpPr>
      <xdr:spPr>
        <a:xfrm>
          <a:off x="21431016" y="502078"/>
          <a:ext cx="0" cy="66353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111129</xdr:colOff>
      <xdr:row>1</xdr:row>
      <xdr:rowOff>61477</xdr:rowOff>
    </xdr:from>
    <xdr:to>
      <xdr:col>98</xdr:col>
      <xdr:colOff>111129</xdr:colOff>
      <xdr:row>1</xdr:row>
      <xdr:rowOff>219188</xdr:rowOff>
    </xdr:to>
    <xdr:cxnSp macro="">
      <xdr:nvCxnSpPr>
        <xdr:cNvPr id="233" name="直線コネクタ 232">
          <a:extLst>
            <a:ext uri="{FF2B5EF4-FFF2-40B4-BE49-F238E27FC236}">
              <a16:creationId xmlns:a16="http://schemas.microsoft.com/office/drawing/2014/main" id="{37675E9C-6A14-C92F-33AB-99A5CBACD04E}"/>
            </a:ext>
          </a:extLst>
        </xdr:cNvPr>
        <xdr:cNvCxnSpPr/>
      </xdr:nvCxnSpPr>
      <xdr:spPr>
        <a:xfrm>
          <a:off x="22209129" y="290077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154538</xdr:colOff>
      <xdr:row>5</xdr:row>
      <xdr:rowOff>14646</xdr:rowOff>
    </xdr:from>
    <xdr:to>
      <xdr:col>97</xdr:col>
      <xdr:colOff>85226</xdr:colOff>
      <xdr:row>5</xdr:row>
      <xdr:rowOff>14646</xdr:rowOff>
    </xdr:to>
    <xdr:cxnSp macro="">
      <xdr:nvCxnSpPr>
        <xdr:cNvPr id="234" name="直線コネクタ 233">
          <a:extLst>
            <a:ext uri="{FF2B5EF4-FFF2-40B4-BE49-F238E27FC236}">
              <a16:creationId xmlns:a16="http://schemas.microsoft.com/office/drawing/2014/main" id="{94161379-8A50-99D7-C387-18EC44C84172}"/>
            </a:ext>
          </a:extLst>
        </xdr:cNvPr>
        <xdr:cNvCxnSpPr/>
      </xdr:nvCxnSpPr>
      <xdr:spPr>
        <a:xfrm>
          <a:off x="21381681" y="1157646"/>
          <a:ext cx="583831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62310</xdr:colOff>
      <xdr:row>1</xdr:row>
      <xdr:rowOff>61477</xdr:rowOff>
    </xdr:from>
    <xdr:to>
      <xdr:col>100</xdr:col>
      <xdr:colOff>62310</xdr:colOff>
      <xdr:row>1</xdr:row>
      <xdr:rowOff>219188</xdr:rowOff>
    </xdr:to>
    <xdr:cxnSp macro="">
      <xdr:nvCxnSpPr>
        <xdr:cNvPr id="235" name="直線コネクタ 234">
          <a:extLst>
            <a:ext uri="{FF2B5EF4-FFF2-40B4-BE49-F238E27FC236}">
              <a16:creationId xmlns:a16="http://schemas.microsoft.com/office/drawing/2014/main" id="{766A05BC-A44D-FF22-7614-5D82816F8506}"/>
            </a:ext>
          </a:extLst>
        </xdr:cNvPr>
        <xdr:cNvCxnSpPr/>
      </xdr:nvCxnSpPr>
      <xdr:spPr>
        <a:xfrm>
          <a:off x="22595739" y="290077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110643</xdr:colOff>
      <xdr:row>1</xdr:row>
      <xdr:rowOff>98872</xdr:rowOff>
    </xdr:from>
    <xdr:to>
      <xdr:col>100</xdr:col>
      <xdr:colOff>62127</xdr:colOff>
      <xdr:row>1</xdr:row>
      <xdr:rowOff>98872</xdr:rowOff>
    </xdr:to>
    <xdr:cxnSp macro="">
      <xdr:nvCxnSpPr>
        <xdr:cNvPr id="236" name="直線コネクタ 235">
          <a:extLst>
            <a:ext uri="{FF2B5EF4-FFF2-40B4-BE49-F238E27FC236}">
              <a16:creationId xmlns:a16="http://schemas.microsoft.com/office/drawing/2014/main" id="{7DB1092B-01E3-900B-748F-E7155EBF8363}"/>
            </a:ext>
          </a:extLst>
        </xdr:cNvPr>
        <xdr:cNvCxnSpPr/>
      </xdr:nvCxnSpPr>
      <xdr:spPr>
        <a:xfrm>
          <a:off x="22208643" y="327472"/>
          <a:ext cx="38691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41427</xdr:colOff>
      <xdr:row>11</xdr:row>
      <xdr:rowOff>219194</xdr:rowOff>
    </xdr:from>
    <xdr:ext cx="349135" cy="224998"/>
    <xdr:sp macro="" textlink="">
      <xdr:nvSpPr>
        <xdr:cNvPr id="237" name="テキスト ボックス 236">
          <a:extLst>
            <a:ext uri="{FF2B5EF4-FFF2-40B4-BE49-F238E27FC236}">
              <a16:creationId xmlns:a16="http://schemas.microsoft.com/office/drawing/2014/main" id="{9271A6F8-BAFD-6EBD-DF8E-98575D240B75}"/>
            </a:ext>
          </a:extLst>
        </xdr:cNvPr>
        <xdr:cNvSpPr txBox="1"/>
      </xdr:nvSpPr>
      <xdr:spPr>
        <a:xfrm>
          <a:off x="21486284" y="2733794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109438</xdr:colOff>
      <xdr:row>12</xdr:row>
      <xdr:rowOff>23297</xdr:rowOff>
    </xdr:from>
    <xdr:to>
      <xdr:col>97</xdr:col>
      <xdr:colOff>164095</xdr:colOff>
      <xdr:row>12</xdr:row>
      <xdr:rowOff>23297</xdr:rowOff>
    </xdr:to>
    <xdr:cxnSp macro="">
      <xdr:nvCxnSpPr>
        <xdr:cNvPr id="238" name="直線コネクタ 237">
          <a:extLst>
            <a:ext uri="{FF2B5EF4-FFF2-40B4-BE49-F238E27FC236}">
              <a16:creationId xmlns:a16="http://schemas.microsoft.com/office/drawing/2014/main" id="{834D6715-D8C7-6D9F-2366-3F6FCED54DD0}"/>
            </a:ext>
          </a:extLst>
        </xdr:cNvPr>
        <xdr:cNvCxnSpPr/>
      </xdr:nvCxnSpPr>
      <xdr:spPr>
        <a:xfrm>
          <a:off x="21554295" y="2766497"/>
          <a:ext cx="49008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111390</xdr:colOff>
      <xdr:row>11</xdr:row>
      <xdr:rowOff>187525</xdr:rowOff>
    </xdr:from>
    <xdr:to>
      <xdr:col>95</xdr:col>
      <xdr:colOff>111390</xdr:colOff>
      <xdr:row>12</xdr:row>
      <xdr:rowOff>69564</xdr:rowOff>
    </xdr:to>
    <xdr:cxnSp macro="">
      <xdr:nvCxnSpPr>
        <xdr:cNvPr id="239" name="直線コネクタ 238">
          <a:extLst>
            <a:ext uri="{FF2B5EF4-FFF2-40B4-BE49-F238E27FC236}">
              <a16:creationId xmlns:a16="http://schemas.microsoft.com/office/drawing/2014/main" id="{C85AD1C7-0D56-5493-87D1-FABF4BF95823}"/>
            </a:ext>
          </a:extLst>
        </xdr:cNvPr>
        <xdr:cNvCxnSpPr/>
      </xdr:nvCxnSpPr>
      <xdr:spPr>
        <a:xfrm>
          <a:off x="21556247" y="2702125"/>
          <a:ext cx="0" cy="11063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174702</xdr:colOff>
      <xdr:row>11</xdr:row>
      <xdr:rowOff>177134</xdr:rowOff>
    </xdr:from>
    <xdr:to>
      <xdr:col>97</xdr:col>
      <xdr:colOff>174702</xdr:colOff>
      <xdr:row>12</xdr:row>
      <xdr:rowOff>57305</xdr:rowOff>
    </xdr:to>
    <xdr:cxnSp macro="">
      <xdr:nvCxnSpPr>
        <xdr:cNvPr id="240" name="直線コネクタ 239">
          <a:extLst>
            <a:ext uri="{FF2B5EF4-FFF2-40B4-BE49-F238E27FC236}">
              <a16:creationId xmlns:a16="http://schemas.microsoft.com/office/drawing/2014/main" id="{5483438C-29BD-B984-F29B-DE94B4718078}"/>
            </a:ext>
          </a:extLst>
        </xdr:cNvPr>
        <xdr:cNvCxnSpPr/>
      </xdr:nvCxnSpPr>
      <xdr:spPr>
        <a:xfrm>
          <a:off x="22054988" y="2691734"/>
          <a:ext cx="0" cy="10877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102</xdr:col>
      <xdr:colOff>58878</xdr:colOff>
      <xdr:row>2</xdr:row>
      <xdr:rowOff>177569</xdr:rowOff>
    </xdr:from>
    <xdr:to>
      <xdr:col>104</xdr:col>
      <xdr:colOff>139309</xdr:colOff>
      <xdr:row>3</xdr:row>
      <xdr:rowOff>93692</xdr:rowOff>
    </xdr:to>
    <xdr:cxnSp macro="">
      <xdr:nvCxnSpPr>
        <xdr:cNvPr id="241" name="直線コネクタ 240">
          <a:extLst>
            <a:ext uri="{FF2B5EF4-FFF2-40B4-BE49-F238E27FC236}">
              <a16:creationId xmlns:a16="http://schemas.microsoft.com/office/drawing/2014/main" id="{3D058575-C2D1-5806-E729-4F8C0A63A585}"/>
            </a:ext>
          </a:extLst>
        </xdr:cNvPr>
        <xdr:cNvCxnSpPr/>
      </xdr:nvCxnSpPr>
      <xdr:spPr>
        <a:xfrm>
          <a:off x="23027735" y="634769"/>
          <a:ext cx="515860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103786</xdr:colOff>
      <xdr:row>3</xdr:row>
      <xdr:rowOff>70746</xdr:rowOff>
    </xdr:from>
    <xdr:to>
      <xdr:col>104</xdr:col>
      <xdr:colOff>67884</xdr:colOff>
      <xdr:row>12</xdr:row>
      <xdr:rowOff>143883</xdr:rowOff>
    </xdr:to>
    <xdr:cxnSp macro="">
      <xdr:nvCxnSpPr>
        <xdr:cNvPr id="242" name="直線コネクタ 241">
          <a:extLst>
            <a:ext uri="{FF2B5EF4-FFF2-40B4-BE49-F238E27FC236}">
              <a16:creationId xmlns:a16="http://schemas.microsoft.com/office/drawing/2014/main" id="{37BC286C-AEA9-E5B8-62CF-6CF87AFC091F}"/>
            </a:ext>
          </a:extLst>
        </xdr:cNvPr>
        <xdr:cNvCxnSpPr/>
      </xdr:nvCxnSpPr>
      <xdr:spPr>
        <a:xfrm flipH="1">
          <a:off x="22854929" y="756546"/>
          <a:ext cx="617241" cy="214142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93746</xdr:colOff>
      <xdr:row>12</xdr:row>
      <xdr:rowOff>20638</xdr:rowOff>
    </xdr:from>
    <xdr:to>
      <xdr:col>101</xdr:col>
      <xdr:colOff>109846</xdr:colOff>
      <xdr:row>12</xdr:row>
      <xdr:rowOff>150111</xdr:rowOff>
    </xdr:to>
    <xdr:cxnSp macro="">
      <xdr:nvCxnSpPr>
        <xdr:cNvPr id="243" name="直線コネクタ 242">
          <a:extLst>
            <a:ext uri="{FF2B5EF4-FFF2-40B4-BE49-F238E27FC236}">
              <a16:creationId xmlns:a16="http://schemas.microsoft.com/office/drawing/2014/main" id="{277F1618-D558-656C-4A19-DA5153E8CF32}"/>
            </a:ext>
          </a:extLst>
        </xdr:cNvPr>
        <xdr:cNvCxnSpPr/>
      </xdr:nvCxnSpPr>
      <xdr:spPr>
        <a:xfrm>
          <a:off x="22409460" y="2763838"/>
          <a:ext cx="451529" cy="12947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102</xdr:col>
      <xdr:colOff>161605</xdr:colOff>
      <xdr:row>7</xdr:row>
      <xdr:rowOff>139564</xdr:rowOff>
    </xdr:from>
    <xdr:ext cx="242374" cy="271228"/>
    <xdr:sp macro="" textlink="">
      <xdr:nvSpPr>
        <xdr:cNvPr id="244" name="テキスト ボックス 243">
          <a:extLst>
            <a:ext uri="{FF2B5EF4-FFF2-40B4-BE49-F238E27FC236}">
              <a16:creationId xmlns:a16="http://schemas.microsoft.com/office/drawing/2014/main" id="{D0271511-375C-F76D-839B-031E6B6EFE51}"/>
            </a:ext>
          </a:extLst>
        </xdr:cNvPr>
        <xdr:cNvSpPr txBox="1"/>
      </xdr:nvSpPr>
      <xdr:spPr>
        <a:xfrm rot="17220000">
          <a:off x="23116035" y="1754191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101</xdr:col>
      <xdr:colOff>133137</xdr:colOff>
      <xdr:row>5</xdr:row>
      <xdr:rowOff>43683</xdr:rowOff>
    </xdr:from>
    <xdr:ext cx="242374" cy="582980"/>
    <xdr:sp macro="" textlink="">
      <xdr:nvSpPr>
        <xdr:cNvPr id="245" name="テキスト ボックス 244">
          <a:extLst>
            <a:ext uri="{FF2B5EF4-FFF2-40B4-BE49-F238E27FC236}">
              <a16:creationId xmlns:a16="http://schemas.microsoft.com/office/drawing/2014/main" id="{194A744F-C4DB-9AF1-7033-0C658852A2FC}"/>
            </a:ext>
          </a:extLst>
        </xdr:cNvPr>
        <xdr:cNvSpPr txBox="1"/>
      </xdr:nvSpPr>
      <xdr:spPr>
        <a:xfrm rot="17233223">
          <a:off x="22713977" y="1356986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85703</xdr:colOff>
      <xdr:row>10</xdr:row>
      <xdr:rowOff>16742</xdr:rowOff>
    </xdr:from>
    <xdr:ext cx="242374" cy="305853"/>
    <xdr:sp macro="" textlink="">
      <xdr:nvSpPr>
        <xdr:cNvPr id="246" name="テキスト ボックス 245">
          <a:extLst>
            <a:ext uri="{FF2B5EF4-FFF2-40B4-BE49-F238E27FC236}">
              <a16:creationId xmlns:a16="http://schemas.microsoft.com/office/drawing/2014/main" id="{F3756E2C-B39D-3472-EE14-973B88EC5442}"/>
            </a:ext>
          </a:extLst>
        </xdr:cNvPr>
        <xdr:cNvSpPr txBox="1"/>
      </xdr:nvSpPr>
      <xdr:spPr>
        <a:xfrm rot="17233223">
          <a:off x="22587392" y="2334482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100</xdr:col>
      <xdr:colOff>6542</xdr:colOff>
      <xdr:row>7</xdr:row>
      <xdr:rowOff>165913</xdr:rowOff>
    </xdr:from>
    <xdr:to>
      <xdr:col>101</xdr:col>
      <xdr:colOff>91214</xdr:colOff>
      <xdr:row>12</xdr:row>
      <xdr:rowOff>55555</xdr:rowOff>
    </xdr:to>
    <xdr:cxnSp macro="">
      <xdr:nvCxnSpPr>
        <xdr:cNvPr id="247" name="直線コネクタ 246">
          <a:extLst>
            <a:ext uri="{FF2B5EF4-FFF2-40B4-BE49-F238E27FC236}">
              <a16:creationId xmlns:a16="http://schemas.microsoft.com/office/drawing/2014/main" id="{12126D58-A70B-EF83-8873-391666DF3392}"/>
            </a:ext>
          </a:extLst>
        </xdr:cNvPr>
        <xdr:cNvCxnSpPr/>
      </xdr:nvCxnSpPr>
      <xdr:spPr>
        <a:xfrm flipH="1">
          <a:off x="22539971" y="1766113"/>
          <a:ext cx="302386" cy="10326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93805</xdr:colOff>
      <xdr:row>3</xdr:row>
      <xdr:rowOff>1723</xdr:rowOff>
    </xdr:from>
    <xdr:to>
      <xdr:col>102</xdr:col>
      <xdr:colOff>183274</xdr:colOff>
      <xdr:row>7</xdr:row>
      <xdr:rowOff>157656</xdr:rowOff>
    </xdr:to>
    <xdr:cxnSp macro="">
      <xdr:nvCxnSpPr>
        <xdr:cNvPr id="248" name="直線コネクタ 247">
          <a:extLst>
            <a:ext uri="{FF2B5EF4-FFF2-40B4-BE49-F238E27FC236}">
              <a16:creationId xmlns:a16="http://schemas.microsoft.com/office/drawing/2014/main" id="{27BDB10B-5EEC-3035-FFCF-B2277C257BA3}"/>
            </a:ext>
          </a:extLst>
        </xdr:cNvPr>
        <xdr:cNvCxnSpPr/>
      </xdr:nvCxnSpPr>
      <xdr:spPr>
        <a:xfrm flipH="1">
          <a:off x="22844948" y="687523"/>
          <a:ext cx="307183" cy="108121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153075</xdr:colOff>
      <xdr:row>7</xdr:row>
      <xdr:rowOff>119560</xdr:rowOff>
    </xdr:from>
    <xdr:to>
      <xdr:col>101</xdr:col>
      <xdr:colOff>185481</xdr:colOff>
      <xdr:row>7</xdr:row>
      <xdr:rowOff>185456</xdr:rowOff>
    </xdr:to>
    <xdr:cxnSp macro="">
      <xdr:nvCxnSpPr>
        <xdr:cNvPr id="249" name="直線コネクタ 248">
          <a:extLst>
            <a:ext uri="{FF2B5EF4-FFF2-40B4-BE49-F238E27FC236}">
              <a16:creationId xmlns:a16="http://schemas.microsoft.com/office/drawing/2014/main" id="{518ED48C-6480-F608-BE41-811497465004}"/>
            </a:ext>
          </a:extLst>
        </xdr:cNvPr>
        <xdr:cNvCxnSpPr/>
      </xdr:nvCxnSpPr>
      <xdr:spPr>
        <a:xfrm>
          <a:off x="22686504" y="1719760"/>
          <a:ext cx="250120" cy="6589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116489</xdr:colOff>
      <xdr:row>3</xdr:row>
      <xdr:rowOff>132425</xdr:rowOff>
    </xdr:from>
    <xdr:to>
      <xdr:col>100</xdr:col>
      <xdr:colOff>191322</xdr:colOff>
      <xdr:row>4</xdr:row>
      <xdr:rowOff>171618</xdr:rowOff>
    </xdr:to>
    <xdr:sp macro="" textlink="">
      <xdr:nvSpPr>
        <xdr:cNvPr id="250" name="円弧 249">
          <a:extLst>
            <a:ext uri="{FF2B5EF4-FFF2-40B4-BE49-F238E27FC236}">
              <a16:creationId xmlns:a16="http://schemas.microsoft.com/office/drawing/2014/main" id="{40FFC983-9136-843C-456B-C10F0810891C}"/>
            </a:ext>
          </a:extLst>
        </xdr:cNvPr>
        <xdr:cNvSpPr/>
      </xdr:nvSpPr>
      <xdr:spPr>
        <a:xfrm rot="11917365">
          <a:off x="22432203" y="818225"/>
          <a:ext cx="292548" cy="267793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100</xdr:col>
      <xdr:colOff>61050</xdr:colOff>
      <xdr:row>2</xdr:row>
      <xdr:rowOff>32581</xdr:rowOff>
    </xdr:from>
    <xdr:to>
      <xdr:col>100</xdr:col>
      <xdr:colOff>61050</xdr:colOff>
      <xdr:row>5</xdr:row>
      <xdr:rowOff>9869</xdr:rowOff>
    </xdr:to>
    <xdr:cxnSp macro="">
      <xdr:nvCxnSpPr>
        <xdr:cNvPr id="251" name="直線コネクタ 250">
          <a:extLst>
            <a:ext uri="{FF2B5EF4-FFF2-40B4-BE49-F238E27FC236}">
              <a16:creationId xmlns:a16="http://schemas.microsoft.com/office/drawing/2014/main" id="{020FEF41-52EF-8276-51E1-5E7FA368A789}"/>
            </a:ext>
          </a:extLst>
        </xdr:cNvPr>
        <xdr:cNvCxnSpPr/>
      </xdr:nvCxnSpPr>
      <xdr:spPr>
        <a:xfrm>
          <a:off x="22594479" y="489781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100</xdr:col>
      <xdr:colOff>4861</xdr:colOff>
      <xdr:row>4</xdr:row>
      <xdr:rowOff>101425</xdr:rowOff>
    </xdr:from>
    <xdr:ext cx="365165" cy="242374"/>
    <xdr:sp macro="" textlink="">
      <xdr:nvSpPr>
        <xdr:cNvPr id="252" name="テキスト ボックス 251">
          <a:extLst>
            <a:ext uri="{FF2B5EF4-FFF2-40B4-BE49-F238E27FC236}">
              <a16:creationId xmlns:a16="http://schemas.microsoft.com/office/drawing/2014/main" id="{28CE8EC8-8F61-29C1-F941-C6CC1B458802}"/>
            </a:ext>
          </a:extLst>
        </xdr:cNvPr>
        <xdr:cNvSpPr txBox="1"/>
      </xdr:nvSpPr>
      <xdr:spPr>
        <a:xfrm>
          <a:off x="22740453" y="1022045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208735</xdr:colOff>
      <xdr:row>4</xdr:row>
      <xdr:rowOff>96723</xdr:rowOff>
    </xdr:from>
    <xdr:ext cx="386644" cy="224998"/>
    <xdr:sp macro="" textlink="$AV$31">
      <xdr:nvSpPr>
        <xdr:cNvPr id="253" name="テキスト ボックス 252">
          <a:extLst>
            <a:ext uri="{FF2B5EF4-FFF2-40B4-BE49-F238E27FC236}">
              <a16:creationId xmlns:a16="http://schemas.microsoft.com/office/drawing/2014/main" id="{4BE00362-F19A-E784-9B9C-58EC7323B442}"/>
            </a:ext>
          </a:extLst>
        </xdr:cNvPr>
        <xdr:cNvSpPr txBox="1"/>
      </xdr:nvSpPr>
      <xdr:spPr>
        <a:xfrm>
          <a:off x="22566317" y="1001075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5C13236-0B3C-4CB4-B0C3-581C31C326B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198681</xdr:colOff>
      <xdr:row>1</xdr:row>
      <xdr:rowOff>154120</xdr:rowOff>
    </xdr:from>
    <xdr:ext cx="370486" cy="224998"/>
    <xdr:sp macro="" textlink="">
      <xdr:nvSpPr>
        <xdr:cNvPr id="254" name="テキスト ボックス 253">
          <a:extLst>
            <a:ext uri="{FF2B5EF4-FFF2-40B4-BE49-F238E27FC236}">
              <a16:creationId xmlns:a16="http://schemas.microsoft.com/office/drawing/2014/main" id="{EFCE4C0A-AB2D-5150-F3D3-3770A2D7B8F3}"/>
            </a:ext>
          </a:extLst>
        </xdr:cNvPr>
        <xdr:cNvSpPr txBox="1"/>
      </xdr:nvSpPr>
      <xdr:spPr>
        <a:xfrm rot="1181880">
          <a:off x="22732110" y="382720"/>
          <a:ext cx="37048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140896</xdr:colOff>
      <xdr:row>3</xdr:row>
      <xdr:rowOff>190887</xdr:rowOff>
    </xdr:from>
    <xdr:ext cx="396134" cy="224998"/>
    <xdr:sp macro="" textlink="">
      <xdr:nvSpPr>
        <xdr:cNvPr id="255" name="テキスト ボックス 254">
          <a:extLst>
            <a:ext uri="{FF2B5EF4-FFF2-40B4-BE49-F238E27FC236}">
              <a16:creationId xmlns:a16="http://schemas.microsoft.com/office/drawing/2014/main" id="{24929EC8-2574-A44C-2F99-C995393354B8}"/>
            </a:ext>
          </a:extLst>
        </xdr:cNvPr>
        <xdr:cNvSpPr txBox="1"/>
      </xdr:nvSpPr>
      <xdr:spPr>
        <a:xfrm>
          <a:off x="22674325" y="876687"/>
          <a:ext cx="39613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99</xdr:col>
      <xdr:colOff>146144</xdr:colOff>
      <xdr:row>4</xdr:row>
      <xdr:rowOff>29530</xdr:rowOff>
    </xdr:from>
    <xdr:to>
      <xdr:col>100</xdr:col>
      <xdr:colOff>194734</xdr:colOff>
      <xdr:row>4</xdr:row>
      <xdr:rowOff>105891</xdr:rowOff>
    </xdr:to>
    <xdr:cxnSp macro="">
      <xdr:nvCxnSpPr>
        <xdr:cNvPr id="256" name="直線コネクタ 255">
          <a:extLst>
            <a:ext uri="{FF2B5EF4-FFF2-40B4-BE49-F238E27FC236}">
              <a16:creationId xmlns:a16="http://schemas.microsoft.com/office/drawing/2014/main" id="{6BB30AAB-7758-4A5E-B5AF-E182D5BF6096}"/>
            </a:ext>
          </a:extLst>
        </xdr:cNvPr>
        <xdr:cNvCxnSpPr/>
      </xdr:nvCxnSpPr>
      <xdr:spPr>
        <a:xfrm flipH="1" flipV="1">
          <a:off x="22461858" y="943930"/>
          <a:ext cx="266305" cy="76361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145633</xdr:colOff>
      <xdr:row>0</xdr:row>
      <xdr:rowOff>120580</xdr:rowOff>
    </xdr:from>
    <xdr:ext cx="444352" cy="224998"/>
    <xdr:sp macro="" textlink="'1.設計条件'!T7">
      <xdr:nvSpPr>
        <xdr:cNvPr id="258" name="テキスト ボックス 257">
          <a:extLst>
            <a:ext uri="{FF2B5EF4-FFF2-40B4-BE49-F238E27FC236}">
              <a16:creationId xmlns:a16="http://schemas.microsoft.com/office/drawing/2014/main" id="{68EFB1AE-A216-8D52-6C3A-729038A92C00}"/>
            </a:ext>
          </a:extLst>
        </xdr:cNvPr>
        <xdr:cNvSpPr txBox="1"/>
      </xdr:nvSpPr>
      <xdr:spPr>
        <a:xfrm>
          <a:off x="22243633" y="12058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96</xdr:col>
      <xdr:colOff>25765</xdr:colOff>
      <xdr:row>11</xdr:row>
      <xdr:rowOff>210569</xdr:rowOff>
    </xdr:from>
    <xdr:ext cx="444352" cy="224998"/>
    <xdr:sp macro="" textlink="'1.設計条件'!T9">
      <xdr:nvSpPr>
        <xdr:cNvPr id="259" name="テキスト ボックス 258">
          <a:extLst>
            <a:ext uri="{FF2B5EF4-FFF2-40B4-BE49-F238E27FC236}">
              <a16:creationId xmlns:a16="http://schemas.microsoft.com/office/drawing/2014/main" id="{E7CD42C9-FD03-EA7E-1929-735E773E151F}"/>
            </a:ext>
          </a:extLst>
        </xdr:cNvPr>
        <xdr:cNvSpPr txBox="1"/>
      </xdr:nvSpPr>
      <xdr:spPr>
        <a:xfrm>
          <a:off x="21688336" y="272516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EE58D92-0B23-4CA2-BDD0-F978EBFA76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98</xdr:col>
      <xdr:colOff>115847</xdr:colOff>
      <xdr:row>2</xdr:row>
      <xdr:rowOff>33806</xdr:rowOff>
    </xdr:from>
    <xdr:to>
      <xdr:col>100</xdr:col>
      <xdr:colOff>72063</xdr:colOff>
      <xdr:row>2</xdr:row>
      <xdr:rowOff>33806</xdr:rowOff>
    </xdr:to>
    <xdr:cxnSp macro="">
      <xdr:nvCxnSpPr>
        <xdr:cNvPr id="260" name="直線コネクタ 259">
          <a:extLst>
            <a:ext uri="{FF2B5EF4-FFF2-40B4-BE49-F238E27FC236}">
              <a16:creationId xmlns:a16="http://schemas.microsoft.com/office/drawing/2014/main" id="{1D78A9EF-6C23-B1A1-0F36-D4549314D1B6}"/>
            </a:ext>
          </a:extLst>
        </xdr:cNvPr>
        <xdr:cNvCxnSpPr/>
      </xdr:nvCxnSpPr>
      <xdr:spPr>
        <a:xfrm>
          <a:off x="22213847" y="491006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178697</xdr:colOff>
      <xdr:row>2</xdr:row>
      <xdr:rowOff>30302</xdr:rowOff>
    </xdr:from>
    <xdr:to>
      <xdr:col>98</xdr:col>
      <xdr:colOff>115080</xdr:colOff>
      <xdr:row>11</xdr:row>
      <xdr:rowOff>21351</xdr:rowOff>
    </xdr:to>
    <xdr:cxnSp macro="">
      <xdr:nvCxnSpPr>
        <xdr:cNvPr id="261" name="直線コネクタ 260">
          <a:extLst>
            <a:ext uri="{FF2B5EF4-FFF2-40B4-BE49-F238E27FC236}">
              <a16:creationId xmlns:a16="http://schemas.microsoft.com/office/drawing/2014/main" id="{4FBBEFD5-0D89-7485-9596-0E4E8E6B02BC}"/>
            </a:ext>
          </a:extLst>
        </xdr:cNvPr>
        <xdr:cNvCxnSpPr/>
      </xdr:nvCxnSpPr>
      <xdr:spPr>
        <a:xfrm flipH="1">
          <a:off x="21623554" y="487502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136548</xdr:colOff>
      <xdr:row>11</xdr:row>
      <xdr:rowOff>36591</xdr:rowOff>
    </xdr:from>
    <xdr:to>
      <xdr:col>97</xdr:col>
      <xdr:colOff>164765</xdr:colOff>
      <xdr:row>11</xdr:row>
      <xdr:rowOff>144591</xdr:rowOff>
    </xdr:to>
    <xdr:sp macro="" textlink="">
      <xdr:nvSpPr>
        <xdr:cNvPr id="262" name="正方形/長方形 261">
          <a:extLst>
            <a:ext uri="{FF2B5EF4-FFF2-40B4-BE49-F238E27FC236}">
              <a16:creationId xmlns:a16="http://schemas.microsoft.com/office/drawing/2014/main" id="{7E04FE9C-FC41-3AF5-58AB-B563C2B0C84C}"/>
            </a:ext>
          </a:extLst>
        </xdr:cNvPr>
        <xdr:cNvSpPr/>
      </xdr:nvSpPr>
      <xdr:spPr>
        <a:xfrm>
          <a:off x="21581405" y="2551191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97</xdr:col>
      <xdr:colOff>44557</xdr:colOff>
      <xdr:row>2</xdr:row>
      <xdr:rowOff>157279</xdr:rowOff>
    </xdr:from>
    <xdr:to>
      <xdr:col>99</xdr:col>
      <xdr:colOff>164468</xdr:colOff>
      <xdr:row>11</xdr:row>
      <xdr:rowOff>21760</xdr:rowOff>
    </xdr:to>
    <xdr:cxnSp macro="">
      <xdr:nvCxnSpPr>
        <xdr:cNvPr id="263" name="直線コネクタ 262">
          <a:extLst>
            <a:ext uri="{FF2B5EF4-FFF2-40B4-BE49-F238E27FC236}">
              <a16:creationId xmlns:a16="http://schemas.microsoft.com/office/drawing/2014/main" id="{90E95B9B-0C64-3B02-5616-315CB1D035E1}"/>
            </a:ext>
          </a:extLst>
        </xdr:cNvPr>
        <xdr:cNvCxnSpPr/>
      </xdr:nvCxnSpPr>
      <xdr:spPr>
        <a:xfrm flipH="1">
          <a:off x="21924843" y="614479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63594</xdr:colOff>
      <xdr:row>9</xdr:row>
      <xdr:rowOff>138309</xdr:rowOff>
    </xdr:from>
    <xdr:to>
      <xdr:col>97</xdr:col>
      <xdr:colOff>149613</xdr:colOff>
      <xdr:row>9</xdr:row>
      <xdr:rowOff>138309</xdr:rowOff>
    </xdr:to>
    <xdr:cxnSp macro="">
      <xdr:nvCxnSpPr>
        <xdr:cNvPr id="264" name="直線コネクタ 263">
          <a:extLst>
            <a:ext uri="{FF2B5EF4-FFF2-40B4-BE49-F238E27FC236}">
              <a16:creationId xmlns:a16="http://schemas.microsoft.com/office/drawing/2014/main" id="{40F097A6-4BF6-CE70-EE25-0A7EE5B7986C}"/>
            </a:ext>
          </a:extLst>
        </xdr:cNvPr>
        <xdr:cNvCxnSpPr/>
      </xdr:nvCxnSpPr>
      <xdr:spPr>
        <a:xfrm>
          <a:off x="21726165" y="2195709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163743</xdr:colOff>
      <xdr:row>8</xdr:row>
      <xdr:rowOff>25097</xdr:rowOff>
    </xdr:from>
    <xdr:to>
      <xdr:col>98</xdr:col>
      <xdr:colOff>29871</xdr:colOff>
      <xdr:row>8</xdr:row>
      <xdr:rowOff>25097</xdr:rowOff>
    </xdr:to>
    <xdr:cxnSp macro="">
      <xdr:nvCxnSpPr>
        <xdr:cNvPr id="265" name="直線コネクタ 264">
          <a:extLst>
            <a:ext uri="{FF2B5EF4-FFF2-40B4-BE49-F238E27FC236}">
              <a16:creationId xmlns:a16="http://schemas.microsoft.com/office/drawing/2014/main" id="{01CB503F-54C1-9D47-9C8F-4CAC49141E3D}"/>
            </a:ext>
          </a:extLst>
        </xdr:cNvPr>
        <xdr:cNvCxnSpPr/>
      </xdr:nvCxnSpPr>
      <xdr:spPr>
        <a:xfrm>
          <a:off x="21826314" y="1853897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39645</xdr:colOff>
      <xdr:row>6</xdr:row>
      <xdr:rowOff>133955</xdr:rowOff>
    </xdr:from>
    <xdr:to>
      <xdr:col>98</xdr:col>
      <xdr:colOff>125665</xdr:colOff>
      <xdr:row>6</xdr:row>
      <xdr:rowOff>133955</xdr:rowOff>
    </xdr:to>
    <xdr:cxnSp macro="">
      <xdr:nvCxnSpPr>
        <xdr:cNvPr id="266" name="直線コネクタ 265">
          <a:extLst>
            <a:ext uri="{FF2B5EF4-FFF2-40B4-BE49-F238E27FC236}">
              <a16:creationId xmlns:a16="http://schemas.microsoft.com/office/drawing/2014/main" id="{00A0842B-04EE-BB8B-CD97-70D14417289A}"/>
            </a:ext>
          </a:extLst>
        </xdr:cNvPr>
        <xdr:cNvCxnSpPr/>
      </xdr:nvCxnSpPr>
      <xdr:spPr>
        <a:xfrm>
          <a:off x="21919931" y="1505555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144148</xdr:colOff>
      <xdr:row>5</xdr:row>
      <xdr:rowOff>9857</xdr:rowOff>
    </xdr:from>
    <xdr:to>
      <xdr:col>99</xdr:col>
      <xdr:colOff>18804</xdr:colOff>
      <xdr:row>5</xdr:row>
      <xdr:rowOff>9857</xdr:rowOff>
    </xdr:to>
    <xdr:cxnSp macro="">
      <xdr:nvCxnSpPr>
        <xdr:cNvPr id="267" name="直線コネクタ 266">
          <a:extLst>
            <a:ext uri="{FF2B5EF4-FFF2-40B4-BE49-F238E27FC236}">
              <a16:creationId xmlns:a16="http://schemas.microsoft.com/office/drawing/2014/main" id="{C4F537B4-D622-3EEF-3ECB-ED01806A01AA}"/>
            </a:ext>
          </a:extLst>
        </xdr:cNvPr>
        <xdr:cNvCxnSpPr/>
      </xdr:nvCxnSpPr>
      <xdr:spPr>
        <a:xfrm>
          <a:off x="22024434" y="1152857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33114</xdr:colOff>
      <xdr:row>3</xdr:row>
      <xdr:rowOff>120891</xdr:rowOff>
    </xdr:from>
    <xdr:to>
      <xdr:col>99</xdr:col>
      <xdr:colOff>119134</xdr:colOff>
      <xdr:row>3</xdr:row>
      <xdr:rowOff>120891</xdr:rowOff>
    </xdr:to>
    <xdr:cxnSp macro="">
      <xdr:nvCxnSpPr>
        <xdr:cNvPr id="268" name="直線コネクタ 267">
          <a:extLst>
            <a:ext uri="{FF2B5EF4-FFF2-40B4-BE49-F238E27FC236}">
              <a16:creationId xmlns:a16="http://schemas.microsoft.com/office/drawing/2014/main" id="{B8DF1616-5406-BFFA-D746-307BB59339C8}"/>
            </a:ext>
          </a:extLst>
        </xdr:cNvPr>
        <xdr:cNvCxnSpPr/>
      </xdr:nvCxnSpPr>
      <xdr:spPr>
        <a:xfrm>
          <a:off x="22131114" y="806691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71894</xdr:colOff>
      <xdr:row>2</xdr:row>
      <xdr:rowOff>151780</xdr:rowOff>
    </xdr:from>
    <xdr:to>
      <xdr:col>100</xdr:col>
      <xdr:colOff>44566</xdr:colOff>
      <xdr:row>2</xdr:row>
      <xdr:rowOff>151780</xdr:rowOff>
    </xdr:to>
    <xdr:cxnSp macro="">
      <xdr:nvCxnSpPr>
        <xdr:cNvPr id="269" name="直線コネクタ 268">
          <a:extLst>
            <a:ext uri="{FF2B5EF4-FFF2-40B4-BE49-F238E27FC236}">
              <a16:creationId xmlns:a16="http://schemas.microsoft.com/office/drawing/2014/main" id="{63F6099E-876E-BB4C-6327-17F14890578F}"/>
            </a:ext>
          </a:extLst>
        </xdr:cNvPr>
        <xdr:cNvCxnSpPr/>
      </xdr:nvCxnSpPr>
      <xdr:spPr>
        <a:xfrm>
          <a:off x="22169894" y="608980"/>
          <a:ext cx="40810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101</xdr:col>
      <xdr:colOff>167648</xdr:colOff>
      <xdr:row>3</xdr:row>
      <xdr:rowOff>182363</xdr:rowOff>
    </xdr:from>
    <xdr:ext cx="502061" cy="224998"/>
    <xdr:sp macro="" textlink="$BA$5">
      <xdr:nvSpPr>
        <xdr:cNvPr id="270" name="テキスト ボックス 269">
          <a:extLst>
            <a:ext uri="{FF2B5EF4-FFF2-40B4-BE49-F238E27FC236}">
              <a16:creationId xmlns:a16="http://schemas.microsoft.com/office/drawing/2014/main" id="{3D502BAA-E667-0D87-C22C-0FDC216AEBD4}"/>
            </a:ext>
          </a:extLst>
        </xdr:cNvPr>
        <xdr:cNvSpPr txBox="1"/>
      </xdr:nvSpPr>
      <xdr:spPr>
        <a:xfrm>
          <a:off x="22906421" y="857772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EB95479-9D50-471A-9959-D14E56D2E31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11.179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90682</xdr:colOff>
      <xdr:row>5</xdr:row>
      <xdr:rowOff>36797</xdr:rowOff>
    </xdr:from>
    <xdr:ext cx="242374" cy="444352"/>
    <xdr:sp macro="" textlink="$AQ$7">
      <xdr:nvSpPr>
        <xdr:cNvPr id="271" name="テキスト ボックス 270">
          <a:extLst>
            <a:ext uri="{FF2B5EF4-FFF2-40B4-BE49-F238E27FC236}">
              <a16:creationId xmlns:a16="http://schemas.microsoft.com/office/drawing/2014/main" id="{F037BDCF-B2A0-9D9F-B330-AD5BE184C412}"/>
            </a:ext>
          </a:extLst>
        </xdr:cNvPr>
        <xdr:cNvSpPr txBox="1"/>
      </xdr:nvSpPr>
      <xdr:spPr>
        <a:xfrm rot="17233223">
          <a:off x="22958550" y="1280786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2CCD555-D589-4A6A-89DF-E157EE6B33C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3.942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29722</xdr:colOff>
      <xdr:row>6</xdr:row>
      <xdr:rowOff>88379</xdr:rowOff>
    </xdr:from>
    <xdr:ext cx="242374" cy="249748"/>
    <xdr:sp macro="" textlink="$AQ$7">
      <xdr:nvSpPr>
        <xdr:cNvPr id="272" name="テキスト ボックス 271">
          <a:extLst>
            <a:ext uri="{FF2B5EF4-FFF2-40B4-BE49-F238E27FC236}">
              <a16:creationId xmlns:a16="http://schemas.microsoft.com/office/drawing/2014/main" id="{A7D51D97-664A-4219-AA1F-2C4DF2845B32}"/>
            </a:ext>
          </a:extLst>
        </xdr:cNvPr>
        <xdr:cNvSpPr txBox="1"/>
      </xdr:nvSpPr>
      <xdr:spPr>
        <a:xfrm rot="17233223">
          <a:off x="22994892" y="1463666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182124</xdr:colOff>
      <xdr:row>7</xdr:row>
      <xdr:rowOff>42659</xdr:rowOff>
    </xdr:from>
    <xdr:ext cx="242374" cy="249748"/>
    <xdr:sp macro="" textlink="$AQ$7">
      <xdr:nvSpPr>
        <xdr:cNvPr id="273" name="テキスト ボックス 272">
          <a:extLst>
            <a:ext uri="{FF2B5EF4-FFF2-40B4-BE49-F238E27FC236}">
              <a16:creationId xmlns:a16="http://schemas.microsoft.com/office/drawing/2014/main" id="{322414BF-9354-A521-0CE2-BB31950F72C9}"/>
            </a:ext>
          </a:extLst>
        </xdr:cNvPr>
        <xdr:cNvSpPr txBox="1"/>
      </xdr:nvSpPr>
      <xdr:spPr>
        <a:xfrm rot="17233223">
          <a:off x="23147294" y="1646546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103</xdr:col>
      <xdr:colOff>17748</xdr:colOff>
      <xdr:row>5</xdr:row>
      <xdr:rowOff>204437</xdr:rowOff>
    </xdr:from>
    <xdr:ext cx="242374" cy="444352"/>
    <xdr:sp macro="" textlink="$AQ$5">
      <xdr:nvSpPr>
        <xdr:cNvPr id="274" name="テキスト ボックス 273">
          <a:extLst>
            <a:ext uri="{FF2B5EF4-FFF2-40B4-BE49-F238E27FC236}">
              <a16:creationId xmlns:a16="http://schemas.microsoft.com/office/drawing/2014/main" id="{9F550C0C-6C98-5F6E-303E-EC53EAF6622C}"/>
            </a:ext>
          </a:extLst>
        </xdr:cNvPr>
        <xdr:cNvSpPr txBox="1"/>
      </xdr:nvSpPr>
      <xdr:spPr>
        <a:xfrm rot="17233223">
          <a:off x="23103330" y="1448426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005E04E-EA04-40EC-ACD3-DAF6C1DAA75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6.570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180586</xdr:colOff>
      <xdr:row>2</xdr:row>
      <xdr:rowOff>22867</xdr:rowOff>
    </xdr:from>
    <xdr:ext cx="444352" cy="224998"/>
    <xdr:sp macro="" textlink="$BA$6">
      <xdr:nvSpPr>
        <xdr:cNvPr id="275" name="テキスト ボックス 274">
          <a:extLst>
            <a:ext uri="{FF2B5EF4-FFF2-40B4-BE49-F238E27FC236}">
              <a16:creationId xmlns:a16="http://schemas.microsoft.com/office/drawing/2014/main" id="{242B835B-1FAC-2AB9-EA91-724699B85966}"/>
            </a:ext>
          </a:extLst>
        </xdr:cNvPr>
        <xdr:cNvSpPr txBox="1"/>
      </xdr:nvSpPr>
      <xdr:spPr>
        <a:xfrm rot="1249213">
          <a:off x="22919359" y="47314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77DED77-2812-454B-9939-4DA78BE672DB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5.672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99</xdr:col>
      <xdr:colOff>31069</xdr:colOff>
      <xdr:row>5</xdr:row>
      <xdr:rowOff>11321</xdr:rowOff>
    </xdr:from>
    <xdr:to>
      <xdr:col>99</xdr:col>
      <xdr:colOff>112759</xdr:colOff>
      <xdr:row>7</xdr:row>
      <xdr:rowOff>24360</xdr:rowOff>
    </xdr:to>
    <xdr:sp macro="" textlink="">
      <xdr:nvSpPr>
        <xdr:cNvPr id="276" name="直角三角形 275">
          <a:extLst>
            <a:ext uri="{FF2B5EF4-FFF2-40B4-BE49-F238E27FC236}">
              <a16:creationId xmlns:a16="http://schemas.microsoft.com/office/drawing/2014/main" id="{EFEC91D1-E3FA-A956-45F5-F9BF0FBFAF89}"/>
            </a:ext>
          </a:extLst>
        </xdr:cNvPr>
        <xdr:cNvSpPr/>
      </xdr:nvSpPr>
      <xdr:spPr>
        <a:xfrm rot="11760000" flipH="1">
          <a:off x="22346783" y="1154321"/>
          <a:ext cx="81690" cy="470239"/>
        </a:xfrm>
        <a:prstGeom prst="rtTriangle">
          <a:avLst/>
        </a:prstGeom>
        <a:solidFill>
          <a:schemeClr val="bg1">
            <a:lumMod val="85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99</xdr:col>
      <xdr:colOff>118894</xdr:colOff>
      <xdr:row>4</xdr:row>
      <xdr:rowOff>205459</xdr:rowOff>
    </xdr:from>
    <xdr:ext cx="317266" cy="224998"/>
    <xdr:sp macro="" textlink="">
      <xdr:nvSpPr>
        <xdr:cNvPr id="277" name="テキスト ボックス 276">
          <a:extLst>
            <a:ext uri="{FF2B5EF4-FFF2-40B4-BE49-F238E27FC236}">
              <a16:creationId xmlns:a16="http://schemas.microsoft.com/office/drawing/2014/main" id="{ADCF510B-1E6A-388A-6DDB-A77A049B4827}"/>
            </a:ext>
          </a:extLst>
        </xdr:cNvPr>
        <xdr:cNvSpPr txBox="1"/>
      </xdr:nvSpPr>
      <xdr:spPr>
        <a:xfrm rot="1331345">
          <a:off x="22434608" y="1119859"/>
          <a:ext cx="31726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'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96</xdr:col>
      <xdr:colOff>7006</xdr:colOff>
      <xdr:row>1</xdr:row>
      <xdr:rowOff>76157</xdr:rowOff>
    </xdr:from>
    <xdr:to>
      <xdr:col>96</xdr:col>
      <xdr:colOff>191277</xdr:colOff>
      <xdr:row>4</xdr:row>
      <xdr:rowOff>29978</xdr:rowOff>
    </xdr:to>
    <xdr:cxnSp macro="">
      <xdr:nvCxnSpPr>
        <xdr:cNvPr id="278" name="直線コネクタ 277">
          <a:extLst>
            <a:ext uri="{FF2B5EF4-FFF2-40B4-BE49-F238E27FC236}">
              <a16:creationId xmlns:a16="http://schemas.microsoft.com/office/drawing/2014/main" id="{3E1B4E5E-52CB-1156-B295-994C7A4D8059}"/>
            </a:ext>
          </a:extLst>
        </xdr:cNvPr>
        <xdr:cNvCxnSpPr/>
      </xdr:nvCxnSpPr>
      <xdr:spPr>
        <a:xfrm flipH="1">
          <a:off x="21669577" y="304757"/>
          <a:ext cx="184271" cy="639621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167541</xdr:colOff>
      <xdr:row>4</xdr:row>
      <xdr:rowOff>13836</xdr:rowOff>
    </xdr:from>
    <xdr:to>
      <xdr:col>96</xdr:col>
      <xdr:colOff>152977</xdr:colOff>
      <xdr:row>4</xdr:row>
      <xdr:rowOff>69625</xdr:rowOff>
    </xdr:to>
    <xdr:cxnSp macro="">
      <xdr:nvCxnSpPr>
        <xdr:cNvPr id="279" name="直線コネクタ 278">
          <a:extLst>
            <a:ext uri="{FF2B5EF4-FFF2-40B4-BE49-F238E27FC236}">
              <a16:creationId xmlns:a16="http://schemas.microsoft.com/office/drawing/2014/main" id="{7E41C2FA-6200-3366-CB2B-3CB3BAA11A02}"/>
            </a:ext>
          </a:extLst>
        </xdr:cNvPr>
        <xdr:cNvCxnSpPr/>
      </xdr:nvCxnSpPr>
      <xdr:spPr>
        <a:xfrm>
          <a:off x="21612398" y="928236"/>
          <a:ext cx="203150" cy="5578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144268</xdr:colOff>
      <xdr:row>1</xdr:row>
      <xdr:rowOff>55473</xdr:rowOff>
    </xdr:from>
    <xdr:to>
      <xdr:col>97</xdr:col>
      <xdr:colOff>122397</xdr:colOff>
      <xdr:row>1</xdr:row>
      <xdr:rowOff>109274</xdr:rowOff>
    </xdr:to>
    <xdr:cxnSp macro="">
      <xdr:nvCxnSpPr>
        <xdr:cNvPr id="280" name="直線コネクタ 279">
          <a:extLst>
            <a:ext uri="{FF2B5EF4-FFF2-40B4-BE49-F238E27FC236}">
              <a16:creationId xmlns:a16="http://schemas.microsoft.com/office/drawing/2014/main" id="{5B08C0B5-3F85-564C-B135-56B0B221FF26}"/>
            </a:ext>
          </a:extLst>
        </xdr:cNvPr>
        <xdr:cNvCxnSpPr/>
      </xdr:nvCxnSpPr>
      <xdr:spPr>
        <a:xfrm>
          <a:off x="21806839" y="284073"/>
          <a:ext cx="195844" cy="53801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95</xdr:col>
      <xdr:colOff>112508</xdr:colOff>
      <xdr:row>2</xdr:row>
      <xdr:rowOff>44335</xdr:rowOff>
    </xdr:from>
    <xdr:ext cx="224998" cy="286297"/>
    <xdr:sp macro="" textlink="">
      <xdr:nvSpPr>
        <xdr:cNvPr id="281" name="テキスト ボックス 280">
          <a:extLst>
            <a:ext uri="{FF2B5EF4-FFF2-40B4-BE49-F238E27FC236}">
              <a16:creationId xmlns:a16="http://schemas.microsoft.com/office/drawing/2014/main" id="{D230D68E-D790-9BF6-CC3D-52562448B5DB}"/>
            </a:ext>
          </a:extLst>
        </xdr:cNvPr>
        <xdr:cNvSpPr txBox="1"/>
      </xdr:nvSpPr>
      <xdr:spPr>
        <a:xfrm rot="17233223">
          <a:off x="21526715" y="532185"/>
          <a:ext cx="28629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i</a:t>
          </a:r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'</a:t>
          </a:r>
          <a:endParaRPr kumimoji="1" lang="ja-JP" altLang="en-US" sz="900" i="1">
            <a:solidFill>
              <a:srgbClr val="FF0000"/>
            </a:solidFill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97</xdr:col>
      <xdr:colOff>110356</xdr:colOff>
      <xdr:row>4</xdr:row>
      <xdr:rowOff>209958</xdr:rowOff>
    </xdr:from>
    <xdr:to>
      <xdr:col>97</xdr:col>
      <xdr:colOff>162021</xdr:colOff>
      <xdr:row>5</xdr:row>
      <xdr:rowOff>37505</xdr:rowOff>
    </xdr:to>
    <xdr:sp macro="" textlink="">
      <xdr:nvSpPr>
        <xdr:cNvPr id="282" name="楕円 281">
          <a:extLst>
            <a:ext uri="{FF2B5EF4-FFF2-40B4-BE49-F238E27FC236}">
              <a16:creationId xmlns:a16="http://schemas.microsoft.com/office/drawing/2014/main" id="{E7F29373-3240-CEE1-D4F0-6548FFE964E4}"/>
            </a:ext>
          </a:extLst>
        </xdr:cNvPr>
        <xdr:cNvSpPr/>
      </xdr:nvSpPr>
      <xdr:spPr>
        <a:xfrm>
          <a:off x="21990642" y="1124358"/>
          <a:ext cx="51665" cy="56147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99</xdr:col>
      <xdr:colOff>198899</xdr:colOff>
      <xdr:row>3</xdr:row>
      <xdr:rowOff>105730</xdr:rowOff>
    </xdr:from>
    <xdr:to>
      <xdr:col>100</xdr:col>
      <xdr:colOff>173082</xdr:colOff>
      <xdr:row>3</xdr:row>
      <xdr:rowOff>160755</xdr:rowOff>
    </xdr:to>
    <xdr:cxnSp macro="">
      <xdr:nvCxnSpPr>
        <xdr:cNvPr id="283" name="直線コネクタ 282">
          <a:extLst>
            <a:ext uri="{FF2B5EF4-FFF2-40B4-BE49-F238E27FC236}">
              <a16:creationId xmlns:a16="http://schemas.microsoft.com/office/drawing/2014/main" id="{DD3DC61C-7229-F692-2432-00512AAF5180}"/>
            </a:ext>
          </a:extLst>
        </xdr:cNvPr>
        <xdr:cNvCxnSpPr/>
      </xdr:nvCxnSpPr>
      <xdr:spPr>
        <a:xfrm flipH="1" flipV="1">
          <a:off x="22514613" y="791530"/>
          <a:ext cx="191898" cy="55025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100</xdr:col>
      <xdr:colOff>156136</xdr:colOff>
      <xdr:row>3</xdr:row>
      <xdr:rowOff>38487</xdr:rowOff>
    </xdr:from>
    <xdr:ext cx="369525" cy="224998"/>
    <xdr:sp macro="" textlink="">
      <xdr:nvSpPr>
        <xdr:cNvPr id="284" name="テキスト ボックス 283">
          <a:extLst>
            <a:ext uri="{FF2B5EF4-FFF2-40B4-BE49-F238E27FC236}">
              <a16:creationId xmlns:a16="http://schemas.microsoft.com/office/drawing/2014/main" id="{03653DB9-7E0B-4E73-B8C3-B259D3D54FC9}"/>
            </a:ext>
          </a:extLst>
        </xdr:cNvPr>
        <xdr:cNvSpPr txBox="1"/>
      </xdr:nvSpPr>
      <xdr:spPr>
        <a:xfrm>
          <a:off x="22689565" y="724287"/>
          <a:ext cx="36952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tzi</a:t>
          </a:r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 baseline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144700</xdr:colOff>
      <xdr:row>2</xdr:row>
      <xdr:rowOff>132327</xdr:rowOff>
    </xdr:from>
    <xdr:to>
      <xdr:col>99</xdr:col>
      <xdr:colOff>211888</xdr:colOff>
      <xdr:row>2</xdr:row>
      <xdr:rowOff>132327</xdr:rowOff>
    </xdr:to>
    <xdr:cxnSp macro="">
      <xdr:nvCxnSpPr>
        <xdr:cNvPr id="285" name="直線コネクタ 284">
          <a:extLst>
            <a:ext uri="{FF2B5EF4-FFF2-40B4-BE49-F238E27FC236}">
              <a16:creationId xmlns:a16="http://schemas.microsoft.com/office/drawing/2014/main" id="{C10EB39C-3F85-7D4A-61A2-006FCEBA100F}"/>
            </a:ext>
          </a:extLst>
        </xdr:cNvPr>
        <xdr:cNvCxnSpPr/>
      </xdr:nvCxnSpPr>
      <xdr:spPr>
        <a:xfrm>
          <a:off x="22024986" y="589527"/>
          <a:ext cx="502616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211260</xdr:colOff>
      <xdr:row>2</xdr:row>
      <xdr:rowOff>91213</xdr:rowOff>
    </xdr:from>
    <xdr:to>
      <xdr:col>99</xdr:col>
      <xdr:colOff>211260</xdr:colOff>
      <xdr:row>3</xdr:row>
      <xdr:rowOff>20323</xdr:rowOff>
    </xdr:to>
    <xdr:cxnSp macro="">
      <xdr:nvCxnSpPr>
        <xdr:cNvPr id="286" name="直線コネクタ 285">
          <a:extLst>
            <a:ext uri="{FF2B5EF4-FFF2-40B4-BE49-F238E27FC236}">
              <a16:creationId xmlns:a16="http://schemas.microsoft.com/office/drawing/2014/main" id="{E19575FD-FB8A-45E7-2D9F-F82CE5BDBBA7}"/>
            </a:ext>
          </a:extLst>
        </xdr:cNvPr>
        <xdr:cNvCxnSpPr/>
      </xdr:nvCxnSpPr>
      <xdr:spPr>
        <a:xfrm>
          <a:off x="22526974" y="548413"/>
          <a:ext cx="0" cy="15771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144883</xdr:colOff>
      <xdr:row>2</xdr:row>
      <xdr:rowOff>91214</xdr:rowOff>
    </xdr:from>
    <xdr:to>
      <xdr:col>97</xdr:col>
      <xdr:colOff>144883</xdr:colOff>
      <xdr:row>3</xdr:row>
      <xdr:rowOff>20324</xdr:rowOff>
    </xdr:to>
    <xdr:cxnSp macro="">
      <xdr:nvCxnSpPr>
        <xdr:cNvPr id="287" name="直線コネクタ 286">
          <a:extLst>
            <a:ext uri="{FF2B5EF4-FFF2-40B4-BE49-F238E27FC236}">
              <a16:creationId xmlns:a16="http://schemas.microsoft.com/office/drawing/2014/main" id="{9C09B418-2CFD-0E89-6BC4-50F86DF73DE8}"/>
            </a:ext>
          </a:extLst>
        </xdr:cNvPr>
        <xdr:cNvCxnSpPr/>
      </xdr:nvCxnSpPr>
      <xdr:spPr>
        <a:xfrm>
          <a:off x="22025169" y="548414"/>
          <a:ext cx="0" cy="15771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66205</xdr:colOff>
      <xdr:row>1</xdr:row>
      <xdr:rowOff>178194</xdr:rowOff>
    </xdr:from>
    <xdr:ext cx="316049" cy="224998"/>
    <xdr:sp macro="" textlink="">
      <xdr:nvSpPr>
        <xdr:cNvPr id="288" name="テキスト ボックス 287">
          <a:extLst>
            <a:ext uri="{FF2B5EF4-FFF2-40B4-BE49-F238E27FC236}">
              <a16:creationId xmlns:a16="http://schemas.microsoft.com/office/drawing/2014/main" id="{31555922-5F4A-E2E9-9C8E-2027EB716D2C}"/>
            </a:ext>
          </a:extLst>
        </xdr:cNvPr>
        <xdr:cNvSpPr txBox="1"/>
      </xdr:nvSpPr>
      <xdr:spPr>
        <a:xfrm>
          <a:off x="22164205" y="406794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39527</xdr:colOff>
      <xdr:row>3</xdr:row>
      <xdr:rowOff>105672</xdr:rowOff>
    </xdr:from>
    <xdr:to>
      <xdr:col>97</xdr:col>
      <xdr:colOff>39527</xdr:colOff>
      <xdr:row>5</xdr:row>
      <xdr:rowOff>20178</xdr:rowOff>
    </xdr:to>
    <xdr:cxnSp macro="">
      <xdr:nvCxnSpPr>
        <xdr:cNvPr id="289" name="直線コネクタ 288">
          <a:extLst>
            <a:ext uri="{FF2B5EF4-FFF2-40B4-BE49-F238E27FC236}">
              <a16:creationId xmlns:a16="http://schemas.microsoft.com/office/drawing/2014/main" id="{42DF428B-7964-6843-B82C-9BDABC63DD21}"/>
            </a:ext>
          </a:extLst>
        </xdr:cNvPr>
        <xdr:cNvCxnSpPr/>
      </xdr:nvCxnSpPr>
      <xdr:spPr>
        <a:xfrm>
          <a:off x="21919813" y="791472"/>
          <a:ext cx="0" cy="371706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208156</xdr:colOff>
      <xdr:row>3</xdr:row>
      <xdr:rowOff>101393</xdr:rowOff>
    </xdr:from>
    <xdr:to>
      <xdr:col>99</xdr:col>
      <xdr:colOff>162755</xdr:colOff>
      <xdr:row>3</xdr:row>
      <xdr:rowOff>101393</xdr:rowOff>
    </xdr:to>
    <xdr:cxnSp macro="">
      <xdr:nvCxnSpPr>
        <xdr:cNvPr id="290" name="直線コネクタ 289">
          <a:extLst>
            <a:ext uri="{FF2B5EF4-FFF2-40B4-BE49-F238E27FC236}">
              <a16:creationId xmlns:a16="http://schemas.microsoft.com/office/drawing/2014/main" id="{18E5AB70-A687-7028-55F0-23876237B59B}"/>
            </a:ext>
          </a:extLst>
        </xdr:cNvPr>
        <xdr:cNvCxnSpPr/>
      </xdr:nvCxnSpPr>
      <xdr:spPr>
        <a:xfrm>
          <a:off x="21870727" y="787193"/>
          <a:ext cx="607742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96</xdr:col>
      <xdr:colOff>67658</xdr:colOff>
      <xdr:row>3</xdr:row>
      <xdr:rowOff>138243</xdr:rowOff>
    </xdr:from>
    <xdr:ext cx="224998" cy="316049"/>
    <xdr:sp macro="" textlink="">
      <xdr:nvSpPr>
        <xdr:cNvPr id="291" name="テキスト ボックス 290">
          <a:extLst>
            <a:ext uri="{FF2B5EF4-FFF2-40B4-BE49-F238E27FC236}">
              <a16:creationId xmlns:a16="http://schemas.microsoft.com/office/drawing/2014/main" id="{807C7733-3B2B-B183-DFCC-0D2CF3254919}"/>
            </a:ext>
          </a:extLst>
        </xdr:cNvPr>
        <xdr:cNvSpPr txBox="1"/>
      </xdr:nvSpPr>
      <xdr:spPr>
        <a:xfrm rot="16200000">
          <a:off x="21684703" y="869569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97</xdr:col>
      <xdr:colOff>92862</xdr:colOff>
      <xdr:row>16</xdr:row>
      <xdr:rowOff>13294</xdr:rowOff>
    </xdr:from>
    <xdr:to>
      <xdr:col>100</xdr:col>
      <xdr:colOff>27996</xdr:colOff>
      <xdr:row>25</xdr:row>
      <xdr:rowOff>10875</xdr:rowOff>
    </xdr:to>
    <xdr:cxnSp macro="">
      <xdr:nvCxnSpPr>
        <xdr:cNvPr id="292" name="直線コネクタ 291">
          <a:extLst>
            <a:ext uri="{FF2B5EF4-FFF2-40B4-BE49-F238E27FC236}">
              <a16:creationId xmlns:a16="http://schemas.microsoft.com/office/drawing/2014/main" id="{BF1F6EB8-1238-CE1F-6F17-D7AA1699799C}"/>
            </a:ext>
          </a:extLst>
        </xdr:cNvPr>
        <xdr:cNvCxnSpPr/>
      </xdr:nvCxnSpPr>
      <xdr:spPr>
        <a:xfrm flipH="1">
          <a:off x="21973148" y="3681780"/>
          <a:ext cx="588277" cy="205498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99</xdr:col>
      <xdr:colOff>80842</xdr:colOff>
      <xdr:row>16</xdr:row>
      <xdr:rowOff>41276</xdr:rowOff>
    </xdr:from>
    <xdr:to>
      <xdr:col>100</xdr:col>
      <xdr:colOff>60639</xdr:colOff>
      <xdr:row>21</xdr:row>
      <xdr:rowOff>17094</xdr:rowOff>
    </xdr:to>
    <xdr:sp macro="" textlink="">
      <xdr:nvSpPr>
        <xdr:cNvPr id="293" name="直角三角形 292">
          <a:extLst>
            <a:ext uri="{FF2B5EF4-FFF2-40B4-BE49-F238E27FC236}">
              <a16:creationId xmlns:a16="http://schemas.microsoft.com/office/drawing/2014/main" id="{C15E0A17-AFBD-83F0-CBD6-378EC2073ADE}"/>
            </a:ext>
          </a:extLst>
        </xdr:cNvPr>
        <xdr:cNvSpPr/>
      </xdr:nvSpPr>
      <xdr:spPr>
        <a:xfrm rot="11760000" flipH="1">
          <a:off x="22396556" y="3709762"/>
          <a:ext cx="197512" cy="1118818"/>
        </a:xfrm>
        <a:prstGeom prst="rtTriangle">
          <a:avLst/>
        </a:prstGeom>
        <a:solidFill>
          <a:schemeClr val="accent2">
            <a:lumMod val="20000"/>
            <a:lumOff val="80000"/>
          </a:schemeClr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91</xdr:col>
      <xdr:colOff>100581</xdr:colOff>
      <xdr:row>19</xdr:row>
      <xdr:rowOff>153227</xdr:rowOff>
    </xdr:from>
    <xdr:ext cx="224998" cy="292581"/>
    <xdr:sp macro="" textlink="">
      <xdr:nvSpPr>
        <xdr:cNvPr id="294" name="テキスト ボックス 293">
          <a:extLst>
            <a:ext uri="{FF2B5EF4-FFF2-40B4-BE49-F238E27FC236}">
              <a16:creationId xmlns:a16="http://schemas.microsoft.com/office/drawing/2014/main" id="{BB409D64-8731-2301-9D18-99C682B74D89}"/>
            </a:ext>
          </a:extLst>
        </xdr:cNvPr>
        <xdr:cNvSpPr txBox="1"/>
      </xdr:nvSpPr>
      <xdr:spPr>
        <a:xfrm rot="16200000">
          <a:off x="20640789" y="4541305"/>
          <a:ext cx="29258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97</xdr:col>
      <xdr:colOff>112137</xdr:colOff>
      <xdr:row>14</xdr:row>
      <xdr:rowOff>98809</xdr:rowOff>
    </xdr:from>
    <xdr:ext cx="336311" cy="224998"/>
    <xdr:sp macro="" textlink="">
      <xdr:nvSpPr>
        <xdr:cNvPr id="295" name="テキスト ボックス 294">
          <a:extLst>
            <a:ext uri="{FF2B5EF4-FFF2-40B4-BE49-F238E27FC236}">
              <a16:creationId xmlns:a16="http://schemas.microsoft.com/office/drawing/2014/main" id="{FAA9B53B-0A2B-C3F4-20F2-C2A403591839}"/>
            </a:ext>
          </a:extLst>
        </xdr:cNvPr>
        <xdr:cNvSpPr txBox="1"/>
      </xdr:nvSpPr>
      <xdr:spPr>
        <a:xfrm>
          <a:off x="21992423" y="3310095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92</xdr:col>
      <xdr:colOff>19879</xdr:colOff>
      <xdr:row>16</xdr:row>
      <xdr:rowOff>12715</xdr:rowOff>
    </xdr:from>
    <xdr:to>
      <xdr:col>94</xdr:col>
      <xdr:colOff>159026</xdr:colOff>
      <xdr:row>16</xdr:row>
      <xdr:rowOff>12715</xdr:rowOff>
    </xdr:to>
    <xdr:cxnSp macro="">
      <xdr:nvCxnSpPr>
        <xdr:cNvPr id="296" name="直線コネクタ 295">
          <a:extLst>
            <a:ext uri="{FF2B5EF4-FFF2-40B4-BE49-F238E27FC236}">
              <a16:creationId xmlns:a16="http://schemas.microsoft.com/office/drawing/2014/main" id="{4A5617B6-22EC-861A-B6EF-BF1C84F9FBCB}"/>
            </a:ext>
          </a:extLst>
        </xdr:cNvPr>
        <xdr:cNvCxnSpPr/>
      </xdr:nvCxnSpPr>
      <xdr:spPr>
        <a:xfrm>
          <a:off x="20811593" y="3681201"/>
          <a:ext cx="574576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92</xdr:col>
      <xdr:colOff>113948</xdr:colOff>
      <xdr:row>16</xdr:row>
      <xdr:rowOff>23107</xdr:rowOff>
    </xdr:from>
    <xdr:to>
      <xdr:col>92</xdr:col>
      <xdr:colOff>113948</xdr:colOff>
      <xdr:row>23</xdr:row>
      <xdr:rowOff>131573</xdr:rowOff>
    </xdr:to>
    <xdr:cxnSp macro="">
      <xdr:nvCxnSpPr>
        <xdr:cNvPr id="297" name="直線コネクタ 296">
          <a:extLst>
            <a:ext uri="{FF2B5EF4-FFF2-40B4-BE49-F238E27FC236}">
              <a16:creationId xmlns:a16="http://schemas.microsoft.com/office/drawing/2014/main" id="{01D3E5D8-55A2-224D-6969-C8F5B5A0B561}"/>
            </a:ext>
          </a:extLst>
        </xdr:cNvPr>
        <xdr:cNvCxnSpPr/>
      </xdr:nvCxnSpPr>
      <xdr:spPr>
        <a:xfrm>
          <a:off x="20905662" y="3691593"/>
          <a:ext cx="0" cy="1708666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67585</xdr:colOff>
      <xdr:row>15</xdr:row>
      <xdr:rowOff>39706</xdr:rowOff>
    </xdr:from>
    <xdr:to>
      <xdr:col>98</xdr:col>
      <xdr:colOff>67585</xdr:colOff>
      <xdr:row>15</xdr:row>
      <xdr:rowOff>197417</xdr:rowOff>
    </xdr:to>
    <xdr:cxnSp macro="">
      <xdr:nvCxnSpPr>
        <xdr:cNvPr id="298" name="直線コネクタ 297">
          <a:extLst>
            <a:ext uri="{FF2B5EF4-FFF2-40B4-BE49-F238E27FC236}">
              <a16:creationId xmlns:a16="http://schemas.microsoft.com/office/drawing/2014/main" id="{D4345A75-D86E-3A27-2EE8-C90038F6E3D9}"/>
            </a:ext>
          </a:extLst>
        </xdr:cNvPr>
        <xdr:cNvCxnSpPr/>
      </xdr:nvCxnSpPr>
      <xdr:spPr>
        <a:xfrm>
          <a:off x="22165585" y="3479592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93</xdr:col>
      <xdr:colOff>72888</xdr:colOff>
      <xdr:row>20</xdr:row>
      <xdr:rowOff>208223</xdr:rowOff>
    </xdr:from>
    <xdr:to>
      <xdr:col>95</xdr:col>
      <xdr:colOff>79513</xdr:colOff>
      <xdr:row>20</xdr:row>
      <xdr:rowOff>208223</xdr:rowOff>
    </xdr:to>
    <xdr:cxnSp macro="">
      <xdr:nvCxnSpPr>
        <xdr:cNvPr id="299" name="直線コネクタ 298">
          <a:extLst>
            <a:ext uri="{FF2B5EF4-FFF2-40B4-BE49-F238E27FC236}">
              <a16:creationId xmlns:a16="http://schemas.microsoft.com/office/drawing/2014/main" id="{634EA43C-B29B-E88E-A886-208B7B7A1A07}"/>
            </a:ext>
          </a:extLst>
        </xdr:cNvPr>
        <xdr:cNvCxnSpPr/>
      </xdr:nvCxnSpPr>
      <xdr:spPr>
        <a:xfrm>
          <a:off x="21082317" y="4791109"/>
          <a:ext cx="442053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18766</xdr:colOff>
      <xdr:row>15</xdr:row>
      <xdr:rowOff>39706</xdr:rowOff>
    </xdr:from>
    <xdr:to>
      <xdr:col>100</xdr:col>
      <xdr:colOff>18766</xdr:colOff>
      <xdr:row>15</xdr:row>
      <xdr:rowOff>197417</xdr:rowOff>
    </xdr:to>
    <xdr:cxnSp macro="">
      <xdr:nvCxnSpPr>
        <xdr:cNvPr id="300" name="直線コネクタ 299">
          <a:extLst>
            <a:ext uri="{FF2B5EF4-FFF2-40B4-BE49-F238E27FC236}">
              <a16:creationId xmlns:a16="http://schemas.microsoft.com/office/drawing/2014/main" id="{4BC80A2C-E0FF-7727-465C-1B8AC9E10670}"/>
            </a:ext>
          </a:extLst>
        </xdr:cNvPr>
        <xdr:cNvCxnSpPr/>
      </xdr:nvCxnSpPr>
      <xdr:spPr>
        <a:xfrm>
          <a:off x="22552195" y="3479592"/>
          <a:ext cx="0" cy="15771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67099</xdr:colOff>
      <xdr:row>15</xdr:row>
      <xdr:rowOff>77101</xdr:rowOff>
    </xdr:from>
    <xdr:to>
      <xdr:col>100</xdr:col>
      <xdr:colOff>18583</xdr:colOff>
      <xdr:row>15</xdr:row>
      <xdr:rowOff>77101</xdr:rowOff>
    </xdr:to>
    <xdr:cxnSp macro="">
      <xdr:nvCxnSpPr>
        <xdr:cNvPr id="301" name="直線コネクタ 300">
          <a:extLst>
            <a:ext uri="{FF2B5EF4-FFF2-40B4-BE49-F238E27FC236}">
              <a16:creationId xmlns:a16="http://schemas.microsoft.com/office/drawing/2014/main" id="{8E8BF294-EC45-6EA1-77E4-5C12D258F582}"/>
            </a:ext>
          </a:extLst>
        </xdr:cNvPr>
        <xdr:cNvCxnSpPr/>
      </xdr:nvCxnSpPr>
      <xdr:spPr>
        <a:xfrm>
          <a:off x="22165099" y="3516987"/>
          <a:ext cx="386913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94</xdr:col>
      <xdr:colOff>215597</xdr:colOff>
      <xdr:row>25</xdr:row>
      <xdr:rowOff>197423</xdr:rowOff>
    </xdr:from>
    <xdr:ext cx="349135" cy="224998"/>
    <xdr:sp macro="" textlink="">
      <xdr:nvSpPr>
        <xdr:cNvPr id="302" name="テキスト ボックス 301">
          <a:extLst>
            <a:ext uri="{FF2B5EF4-FFF2-40B4-BE49-F238E27FC236}">
              <a16:creationId xmlns:a16="http://schemas.microsoft.com/office/drawing/2014/main" id="{0693C01E-12AA-2459-8BAA-9B603C9F2932}"/>
            </a:ext>
          </a:extLst>
        </xdr:cNvPr>
        <xdr:cNvSpPr txBox="1"/>
      </xdr:nvSpPr>
      <xdr:spPr>
        <a:xfrm>
          <a:off x="21442740" y="5923309"/>
          <a:ext cx="349135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65894</xdr:colOff>
      <xdr:row>26</xdr:row>
      <xdr:rowOff>1526</xdr:rowOff>
    </xdr:from>
    <xdr:to>
      <xdr:col>97</xdr:col>
      <xdr:colOff>120551</xdr:colOff>
      <xdr:row>26</xdr:row>
      <xdr:rowOff>1526</xdr:rowOff>
    </xdr:to>
    <xdr:cxnSp macro="">
      <xdr:nvCxnSpPr>
        <xdr:cNvPr id="303" name="直線コネクタ 302">
          <a:extLst>
            <a:ext uri="{FF2B5EF4-FFF2-40B4-BE49-F238E27FC236}">
              <a16:creationId xmlns:a16="http://schemas.microsoft.com/office/drawing/2014/main" id="{B10CF1D1-D8B0-FFD0-9316-A555DC502B03}"/>
            </a:ext>
          </a:extLst>
        </xdr:cNvPr>
        <xdr:cNvCxnSpPr/>
      </xdr:nvCxnSpPr>
      <xdr:spPr>
        <a:xfrm>
          <a:off x="21510751" y="5956012"/>
          <a:ext cx="490086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67846</xdr:colOff>
      <xdr:row>25</xdr:row>
      <xdr:rowOff>165754</xdr:rowOff>
    </xdr:from>
    <xdr:to>
      <xdr:col>95</xdr:col>
      <xdr:colOff>67846</xdr:colOff>
      <xdr:row>26</xdr:row>
      <xdr:rowOff>47793</xdr:rowOff>
    </xdr:to>
    <xdr:cxnSp macro="">
      <xdr:nvCxnSpPr>
        <xdr:cNvPr id="304" name="直線コネクタ 303">
          <a:extLst>
            <a:ext uri="{FF2B5EF4-FFF2-40B4-BE49-F238E27FC236}">
              <a16:creationId xmlns:a16="http://schemas.microsoft.com/office/drawing/2014/main" id="{C5372CF2-363B-CFB8-80B0-3C66D7C6ABC9}"/>
            </a:ext>
          </a:extLst>
        </xdr:cNvPr>
        <xdr:cNvCxnSpPr/>
      </xdr:nvCxnSpPr>
      <xdr:spPr>
        <a:xfrm>
          <a:off x="21512703" y="5891640"/>
          <a:ext cx="0" cy="110639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131158</xdr:colOff>
      <xdr:row>25</xdr:row>
      <xdr:rowOff>155363</xdr:rowOff>
    </xdr:from>
    <xdr:to>
      <xdr:col>97</xdr:col>
      <xdr:colOff>131158</xdr:colOff>
      <xdr:row>26</xdr:row>
      <xdr:rowOff>35534</xdr:rowOff>
    </xdr:to>
    <xdr:cxnSp macro="">
      <xdr:nvCxnSpPr>
        <xdr:cNvPr id="305" name="直線コネクタ 304">
          <a:extLst>
            <a:ext uri="{FF2B5EF4-FFF2-40B4-BE49-F238E27FC236}">
              <a16:creationId xmlns:a16="http://schemas.microsoft.com/office/drawing/2014/main" id="{1C930642-A34A-C1A7-394D-2D3FADDA5992}"/>
            </a:ext>
          </a:extLst>
        </xdr:cNvPr>
        <xdr:cNvCxnSpPr/>
      </xdr:nvCxnSpPr>
      <xdr:spPr>
        <a:xfrm>
          <a:off x="22011444" y="5881249"/>
          <a:ext cx="0" cy="10877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102</xdr:col>
      <xdr:colOff>15334</xdr:colOff>
      <xdr:row>16</xdr:row>
      <xdr:rowOff>155798</xdr:rowOff>
    </xdr:from>
    <xdr:to>
      <xdr:col>104</xdr:col>
      <xdr:colOff>95765</xdr:colOff>
      <xdr:row>17</xdr:row>
      <xdr:rowOff>71921</xdr:rowOff>
    </xdr:to>
    <xdr:cxnSp macro="">
      <xdr:nvCxnSpPr>
        <xdr:cNvPr id="306" name="直線コネクタ 305">
          <a:extLst>
            <a:ext uri="{FF2B5EF4-FFF2-40B4-BE49-F238E27FC236}">
              <a16:creationId xmlns:a16="http://schemas.microsoft.com/office/drawing/2014/main" id="{7D852758-C9D9-E0CF-5935-0B98C1C5A293}"/>
            </a:ext>
          </a:extLst>
        </xdr:cNvPr>
        <xdr:cNvCxnSpPr/>
      </xdr:nvCxnSpPr>
      <xdr:spPr>
        <a:xfrm>
          <a:off x="22984191" y="3824284"/>
          <a:ext cx="515860" cy="144723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60242</xdr:colOff>
      <xdr:row>17</xdr:row>
      <xdr:rowOff>48975</xdr:rowOff>
    </xdr:from>
    <xdr:to>
      <xdr:col>104</xdr:col>
      <xdr:colOff>24340</xdr:colOff>
      <xdr:row>26</xdr:row>
      <xdr:rowOff>132998</xdr:rowOff>
    </xdr:to>
    <xdr:cxnSp macro="">
      <xdr:nvCxnSpPr>
        <xdr:cNvPr id="307" name="直線コネクタ 306">
          <a:extLst>
            <a:ext uri="{FF2B5EF4-FFF2-40B4-BE49-F238E27FC236}">
              <a16:creationId xmlns:a16="http://schemas.microsoft.com/office/drawing/2014/main" id="{936BD067-C58E-9981-6CD4-9E89CCAFDEE7}"/>
            </a:ext>
          </a:extLst>
        </xdr:cNvPr>
        <xdr:cNvCxnSpPr/>
      </xdr:nvCxnSpPr>
      <xdr:spPr>
        <a:xfrm flipH="1">
          <a:off x="22811385" y="3946061"/>
          <a:ext cx="617241" cy="2141423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50202</xdr:colOff>
      <xdr:row>25</xdr:row>
      <xdr:rowOff>227467</xdr:rowOff>
    </xdr:from>
    <xdr:to>
      <xdr:col>101</xdr:col>
      <xdr:colOff>66302</xdr:colOff>
      <xdr:row>26</xdr:row>
      <xdr:rowOff>132822</xdr:rowOff>
    </xdr:to>
    <xdr:cxnSp macro="">
      <xdr:nvCxnSpPr>
        <xdr:cNvPr id="308" name="直線コネクタ 307">
          <a:extLst>
            <a:ext uri="{FF2B5EF4-FFF2-40B4-BE49-F238E27FC236}">
              <a16:creationId xmlns:a16="http://schemas.microsoft.com/office/drawing/2014/main" id="{F24785B7-D09E-74BF-BC65-F82E1E28521B}"/>
            </a:ext>
          </a:extLst>
        </xdr:cNvPr>
        <xdr:cNvCxnSpPr/>
      </xdr:nvCxnSpPr>
      <xdr:spPr>
        <a:xfrm>
          <a:off x="22365916" y="5953353"/>
          <a:ext cx="451529" cy="133955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102</xdr:col>
      <xdr:colOff>118061</xdr:colOff>
      <xdr:row>21</xdr:row>
      <xdr:rowOff>117793</xdr:rowOff>
    </xdr:from>
    <xdr:ext cx="242374" cy="271228"/>
    <xdr:sp macro="" textlink="">
      <xdr:nvSpPr>
        <xdr:cNvPr id="309" name="テキスト ボックス 308">
          <a:extLst>
            <a:ext uri="{FF2B5EF4-FFF2-40B4-BE49-F238E27FC236}">
              <a16:creationId xmlns:a16="http://schemas.microsoft.com/office/drawing/2014/main" id="{57FB6ACA-670D-8026-B80E-141836F05B60}"/>
            </a:ext>
          </a:extLst>
        </xdr:cNvPr>
        <xdr:cNvSpPr txBox="1"/>
      </xdr:nvSpPr>
      <xdr:spPr>
        <a:xfrm rot="17220000">
          <a:off x="23072491" y="4943706"/>
          <a:ext cx="27122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oneCellAnchor>
    <xdr:from>
      <xdr:col>101</xdr:col>
      <xdr:colOff>89593</xdr:colOff>
      <xdr:row>19</xdr:row>
      <xdr:rowOff>21912</xdr:rowOff>
    </xdr:from>
    <xdr:ext cx="242374" cy="582980"/>
    <xdr:sp macro="" textlink="">
      <xdr:nvSpPr>
        <xdr:cNvPr id="310" name="テキスト ボックス 309">
          <a:extLst>
            <a:ext uri="{FF2B5EF4-FFF2-40B4-BE49-F238E27FC236}">
              <a16:creationId xmlns:a16="http://schemas.microsoft.com/office/drawing/2014/main" id="{CDDE1494-4128-E6F3-BD9D-C2B4B1BE9121}"/>
            </a:ext>
          </a:extLst>
        </xdr:cNvPr>
        <xdr:cNvSpPr txBox="1"/>
      </xdr:nvSpPr>
      <xdr:spPr>
        <a:xfrm rot="17233223">
          <a:off x="22670433" y="4546501"/>
          <a:ext cx="582980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₂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κ</a:t>
          </a:r>
          <a:r>
            <a:rPr kumimoji="1" lang="en-US" altLang="ja-JP" sz="900" i="1" baseline="-250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・</a:t>
          </a:r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42159</xdr:colOff>
      <xdr:row>23</xdr:row>
      <xdr:rowOff>223571</xdr:rowOff>
    </xdr:from>
    <xdr:ext cx="242374" cy="305853"/>
    <xdr:sp macro="" textlink="">
      <xdr:nvSpPr>
        <xdr:cNvPr id="311" name="テキスト ボックス 310">
          <a:extLst>
            <a:ext uri="{FF2B5EF4-FFF2-40B4-BE49-F238E27FC236}">
              <a16:creationId xmlns:a16="http://schemas.microsoft.com/office/drawing/2014/main" id="{F4EDE2BE-6844-5653-AAE7-F744358B2F50}"/>
            </a:ext>
          </a:extLst>
        </xdr:cNvPr>
        <xdr:cNvSpPr txBox="1"/>
      </xdr:nvSpPr>
      <xdr:spPr>
        <a:xfrm rot="17233223">
          <a:off x="22543848" y="5523997"/>
          <a:ext cx="30585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ℓ</a:t>
          </a:r>
          <a:r>
            <a:rPr kumimoji="1" lang="ja-JP" altLang="en-US" sz="900">
              <a:latin typeface="Times New Roman" panose="02020603050405020304" pitchFamily="18" charset="0"/>
              <a:cs typeface="Times New Roman" panose="02020603050405020304" pitchFamily="18" charset="0"/>
            </a:rPr>
            <a:t> ₁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99</xdr:col>
      <xdr:colOff>180713</xdr:colOff>
      <xdr:row>21</xdr:row>
      <xdr:rowOff>144142</xdr:rowOff>
    </xdr:from>
    <xdr:to>
      <xdr:col>101</xdr:col>
      <xdr:colOff>47670</xdr:colOff>
      <xdr:row>26</xdr:row>
      <xdr:rowOff>33784</xdr:rowOff>
    </xdr:to>
    <xdr:cxnSp macro="">
      <xdr:nvCxnSpPr>
        <xdr:cNvPr id="312" name="直線コネクタ 311">
          <a:extLst>
            <a:ext uri="{FF2B5EF4-FFF2-40B4-BE49-F238E27FC236}">
              <a16:creationId xmlns:a16="http://schemas.microsoft.com/office/drawing/2014/main" id="{17EA828E-9683-BB8A-1ECB-523335237702}"/>
            </a:ext>
          </a:extLst>
        </xdr:cNvPr>
        <xdr:cNvCxnSpPr/>
      </xdr:nvCxnSpPr>
      <xdr:spPr>
        <a:xfrm flipH="1">
          <a:off x="22496427" y="4955628"/>
          <a:ext cx="302386" cy="1032642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101</xdr:col>
      <xdr:colOff>50261</xdr:colOff>
      <xdr:row>16</xdr:row>
      <xdr:rowOff>208552</xdr:rowOff>
    </xdr:from>
    <xdr:to>
      <xdr:col>102</xdr:col>
      <xdr:colOff>139730</xdr:colOff>
      <xdr:row>21</xdr:row>
      <xdr:rowOff>146771</xdr:rowOff>
    </xdr:to>
    <xdr:cxnSp macro="">
      <xdr:nvCxnSpPr>
        <xdr:cNvPr id="313" name="直線コネクタ 312">
          <a:extLst>
            <a:ext uri="{FF2B5EF4-FFF2-40B4-BE49-F238E27FC236}">
              <a16:creationId xmlns:a16="http://schemas.microsoft.com/office/drawing/2014/main" id="{6F1D0204-2A34-1C10-0545-B826E3CE6A6C}"/>
            </a:ext>
          </a:extLst>
        </xdr:cNvPr>
        <xdr:cNvCxnSpPr/>
      </xdr:nvCxnSpPr>
      <xdr:spPr>
        <a:xfrm flipH="1">
          <a:off x="22801404" y="3877038"/>
          <a:ext cx="307183" cy="1081219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100</xdr:col>
      <xdr:colOff>109531</xdr:colOff>
      <xdr:row>21</xdr:row>
      <xdr:rowOff>97789</xdr:rowOff>
    </xdr:from>
    <xdr:to>
      <xdr:col>101</xdr:col>
      <xdr:colOff>141937</xdr:colOff>
      <xdr:row>21</xdr:row>
      <xdr:rowOff>163685</xdr:rowOff>
    </xdr:to>
    <xdr:cxnSp macro="">
      <xdr:nvCxnSpPr>
        <xdr:cNvPr id="314" name="直線コネクタ 313">
          <a:extLst>
            <a:ext uri="{FF2B5EF4-FFF2-40B4-BE49-F238E27FC236}">
              <a16:creationId xmlns:a16="http://schemas.microsoft.com/office/drawing/2014/main" id="{68049AD3-1FC8-37CC-2AF0-D13EFC6B10A4}"/>
            </a:ext>
          </a:extLst>
        </xdr:cNvPr>
        <xdr:cNvCxnSpPr/>
      </xdr:nvCxnSpPr>
      <xdr:spPr>
        <a:xfrm>
          <a:off x="22642960" y="4909275"/>
          <a:ext cx="250120" cy="65896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72945</xdr:colOff>
      <xdr:row>17</xdr:row>
      <xdr:rowOff>110654</xdr:rowOff>
    </xdr:from>
    <xdr:to>
      <xdr:col>100</xdr:col>
      <xdr:colOff>147778</xdr:colOff>
      <xdr:row>18</xdr:row>
      <xdr:rowOff>149847</xdr:rowOff>
    </xdr:to>
    <xdr:sp macro="" textlink="">
      <xdr:nvSpPr>
        <xdr:cNvPr id="315" name="円弧 314">
          <a:extLst>
            <a:ext uri="{FF2B5EF4-FFF2-40B4-BE49-F238E27FC236}">
              <a16:creationId xmlns:a16="http://schemas.microsoft.com/office/drawing/2014/main" id="{9FCDD39A-6F92-63E4-CE71-7617825232F9}"/>
            </a:ext>
          </a:extLst>
        </xdr:cNvPr>
        <xdr:cNvSpPr/>
      </xdr:nvSpPr>
      <xdr:spPr>
        <a:xfrm rot="11917365">
          <a:off x="22388659" y="4007740"/>
          <a:ext cx="292548" cy="267793"/>
        </a:xfrm>
        <a:prstGeom prst="arc">
          <a:avLst>
            <a:gd name="adj1" fmla="val 14457045"/>
            <a:gd name="adj2" fmla="val 18522291"/>
          </a:avLst>
        </a:prstGeom>
        <a:noFill/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100</xdr:col>
      <xdr:colOff>17506</xdr:colOff>
      <xdr:row>16</xdr:row>
      <xdr:rowOff>10810</xdr:rowOff>
    </xdr:from>
    <xdr:to>
      <xdr:col>100</xdr:col>
      <xdr:colOff>17506</xdr:colOff>
      <xdr:row>18</xdr:row>
      <xdr:rowOff>216698</xdr:rowOff>
    </xdr:to>
    <xdr:cxnSp macro="">
      <xdr:nvCxnSpPr>
        <xdr:cNvPr id="316" name="直線コネクタ 315">
          <a:extLst>
            <a:ext uri="{FF2B5EF4-FFF2-40B4-BE49-F238E27FC236}">
              <a16:creationId xmlns:a16="http://schemas.microsoft.com/office/drawing/2014/main" id="{1883A8C4-4717-AAA7-BFF5-FA7920294858}"/>
            </a:ext>
          </a:extLst>
        </xdr:cNvPr>
        <xdr:cNvCxnSpPr/>
      </xdr:nvCxnSpPr>
      <xdr:spPr>
        <a:xfrm>
          <a:off x="22550935" y="3679296"/>
          <a:ext cx="0" cy="663088"/>
        </a:xfrm>
        <a:prstGeom prst="line">
          <a:avLst/>
        </a:prstGeom>
        <a:ln w="3175">
          <a:solidFill>
            <a:schemeClr val="tx1"/>
          </a:solidFill>
          <a:prstDash val="dash"/>
          <a:headEnd type="none" w="sm" len="sm"/>
          <a:tailEnd type="none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99</xdr:col>
      <xdr:colOff>179032</xdr:colOff>
      <xdr:row>18</xdr:row>
      <xdr:rowOff>79654</xdr:rowOff>
    </xdr:from>
    <xdr:ext cx="365165" cy="242374"/>
    <xdr:sp macro="" textlink="">
      <xdr:nvSpPr>
        <xdr:cNvPr id="317" name="テキスト ボックス 316">
          <a:extLst>
            <a:ext uri="{FF2B5EF4-FFF2-40B4-BE49-F238E27FC236}">
              <a16:creationId xmlns:a16="http://schemas.microsoft.com/office/drawing/2014/main" id="{EDF987EC-E069-6868-6158-4F99173AE52F}"/>
            </a:ext>
          </a:extLst>
        </xdr:cNvPr>
        <xdr:cNvSpPr txBox="1"/>
      </xdr:nvSpPr>
      <xdr:spPr>
        <a:xfrm>
          <a:off x="22693799" y="4234887"/>
          <a:ext cx="36516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>
              <a:latin typeface="HGP明朝B" panose="02020800000000000000" pitchFamily="18" charset="-128"/>
              <a:ea typeface="HGP明朝B" panose="02020800000000000000" pitchFamily="18" charset="-128"/>
              <a:cs typeface="Times New Roman" panose="02020603050405020304" pitchFamily="18" charset="0"/>
            </a:rPr>
            <a:t>θ</a:t>
          </a:r>
          <a:r>
            <a:rPr kumimoji="1" lang="en-US" altLang="ja-JP" sz="900"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165191</xdr:colOff>
      <xdr:row>18</xdr:row>
      <xdr:rowOff>74952</xdr:rowOff>
    </xdr:from>
    <xdr:ext cx="386644" cy="224998"/>
    <xdr:sp macro="" textlink="$AV$31">
      <xdr:nvSpPr>
        <xdr:cNvPr id="318" name="テキスト ボックス 317">
          <a:extLst>
            <a:ext uri="{FF2B5EF4-FFF2-40B4-BE49-F238E27FC236}">
              <a16:creationId xmlns:a16="http://schemas.microsoft.com/office/drawing/2014/main" id="{5B591DA2-A43E-4B63-3209-324CAC82DE87}"/>
            </a:ext>
          </a:extLst>
        </xdr:cNvPr>
        <xdr:cNvSpPr txBox="1"/>
      </xdr:nvSpPr>
      <xdr:spPr>
        <a:xfrm>
          <a:off x="22522773" y="4161282"/>
          <a:ext cx="38664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5C13236-0B3C-4CB4-B0C3-581C31C326B6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21.8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155137</xdr:colOff>
      <xdr:row>15</xdr:row>
      <xdr:rowOff>132349</xdr:rowOff>
    </xdr:from>
    <xdr:ext cx="370486" cy="224998"/>
    <xdr:sp macro="" textlink="">
      <xdr:nvSpPr>
        <xdr:cNvPr id="319" name="テキスト ボックス 318">
          <a:extLst>
            <a:ext uri="{FF2B5EF4-FFF2-40B4-BE49-F238E27FC236}">
              <a16:creationId xmlns:a16="http://schemas.microsoft.com/office/drawing/2014/main" id="{F8ED37FB-4370-09CE-2DC2-DD189E1A093F}"/>
            </a:ext>
          </a:extLst>
        </xdr:cNvPr>
        <xdr:cNvSpPr txBox="1"/>
      </xdr:nvSpPr>
      <xdr:spPr>
        <a:xfrm rot="1181880">
          <a:off x="22688566" y="3572235"/>
          <a:ext cx="37048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97352</xdr:colOff>
      <xdr:row>17</xdr:row>
      <xdr:rowOff>169116</xdr:rowOff>
    </xdr:from>
    <xdr:ext cx="447430" cy="224998"/>
    <xdr:sp macro="" textlink="">
      <xdr:nvSpPr>
        <xdr:cNvPr id="320" name="テキスト ボックス 319">
          <a:extLst>
            <a:ext uri="{FF2B5EF4-FFF2-40B4-BE49-F238E27FC236}">
              <a16:creationId xmlns:a16="http://schemas.microsoft.com/office/drawing/2014/main" id="{C46A79B8-5A5A-88A1-5837-40C38959914F}"/>
            </a:ext>
          </a:extLst>
        </xdr:cNvPr>
        <xdr:cNvSpPr txBox="1"/>
      </xdr:nvSpPr>
      <xdr:spPr>
        <a:xfrm>
          <a:off x="22630781" y="4066202"/>
          <a:ext cx="44743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Q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tzi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 =</a:t>
          </a:r>
          <a:endParaRPr kumimoji="1" lang="ja-JP" altLang="en-US" sz="9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99</xdr:col>
      <xdr:colOff>148982</xdr:colOff>
      <xdr:row>17</xdr:row>
      <xdr:rowOff>143594</xdr:rowOff>
    </xdr:from>
    <xdr:to>
      <xdr:col>100</xdr:col>
      <xdr:colOff>197572</xdr:colOff>
      <xdr:row>17</xdr:row>
      <xdr:rowOff>219955</xdr:rowOff>
    </xdr:to>
    <xdr:cxnSp macro="">
      <xdr:nvCxnSpPr>
        <xdr:cNvPr id="321" name="直線コネクタ 320">
          <a:extLst>
            <a:ext uri="{FF2B5EF4-FFF2-40B4-BE49-F238E27FC236}">
              <a16:creationId xmlns:a16="http://schemas.microsoft.com/office/drawing/2014/main" id="{D4C32EB2-70FF-34C2-5EC0-518BA26BB4B3}"/>
            </a:ext>
          </a:extLst>
        </xdr:cNvPr>
        <xdr:cNvCxnSpPr/>
      </xdr:nvCxnSpPr>
      <xdr:spPr>
        <a:xfrm flipH="1" flipV="1">
          <a:off x="22464696" y="4040680"/>
          <a:ext cx="266305" cy="76361"/>
        </a:xfrm>
        <a:prstGeom prst="line">
          <a:avLst/>
        </a:prstGeom>
        <a:ln w="25400">
          <a:solidFill>
            <a:srgbClr val="FF0000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98</xdr:col>
      <xdr:colOff>102089</xdr:colOff>
      <xdr:row>14</xdr:row>
      <xdr:rowOff>98809</xdr:rowOff>
    </xdr:from>
    <xdr:ext cx="444352" cy="224998"/>
    <xdr:sp macro="" textlink="'1.設計条件'!T7">
      <xdr:nvSpPr>
        <xdr:cNvPr id="323" name="テキスト ボックス 322">
          <a:extLst>
            <a:ext uri="{FF2B5EF4-FFF2-40B4-BE49-F238E27FC236}">
              <a16:creationId xmlns:a16="http://schemas.microsoft.com/office/drawing/2014/main" id="{DB7FFD4B-453A-5712-5AF7-2250E860B05C}"/>
            </a:ext>
          </a:extLst>
        </xdr:cNvPr>
        <xdr:cNvSpPr txBox="1"/>
      </xdr:nvSpPr>
      <xdr:spPr>
        <a:xfrm>
          <a:off x="22200089" y="331009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8AE101F-90CD-4872-B968-B2EA0B646209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95</xdr:col>
      <xdr:colOff>199935</xdr:colOff>
      <xdr:row>25</xdr:row>
      <xdr:rowOff>188798</xdr:rowOff>
    </xdr:from>
    <xdr:ext cx="444352" cy="224998"/>
    <xdr:sp macro="" textlink="'1.設計条件'!T9">
      <xdr:nvSpPr>
        <xdr:cNvPr id="324" name="テキスト ボックス 323">
          <a:extLst>
            <a:ext uri="{FF2B5EF4-FFF2-40B4-BE49-F238E27FC236}">
              <a16:creationId xmlns:a16="http://schemas.microsoft.com/office/drawing/2014/main" id="{0870A724-6501-7BF6-2023-DDAEAC066052}"/>
            </a:ext>
          </a:extLst>
        </xdr:cNvPr>
        <xdr:cNvSpPr txBox="1"/>
      </xdr:nvSpPr>
      <xdr:spPr>
        <a:xfrm>
          <a:off x="21644792" y="591468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EE58D92-0B23-4CA2-BDD0-F978EBFA76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cs typeface="Times New Roman"/>
            </a:rPr>
            <a:pPr/>
            <a:t>1.300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98</xdr:col>
      <xdr:colOff>72303</xdr:colOff>
      <xdr:row>16</xdr:row>
      <xdr:rowOff>12035</xdr:rowOff>
    </xdr:from>
    <xdr:to>
      <xdr:col>100</xdr:col>
      <xdr:colOff>28519</xdr:colOff>
      <xdr:row>16</xdr:row>
      <xdr:rowOff>12035</xdr:rowOff>
    </xdr:to>
    <xdr:cxnSp macro="">
      <xdr:nvCxnSpPr>
        <xdr:cNvPr id="325" name="直線コネクタ 324">
          <a:extLst>
            <a:ext uri="{FF2B5EF4-FFF2-40B4-BE49-F238E27FC236}">
              <a16:creationId xmlns:a16="http://schemas.microsoft.com/office/drawing/2014/main" id="{A9094AC2-63DB-6EB6-8C03-F9CC24976B8E}"/>
            </a:ext>
          </a:extLst>
        </xdr:cNvPr>
        <xdr:cNvCxnSpPr/>
      </xdr:nvCxnSpPr>
      <xdr:spPr>
        <a:xfrm>
          <a:off x="22170303" y="3680521"/>
          <a:ext cx="39164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135153</xdr:colOff>
      <xdr:row>16</xdr:row>
      <xdr:rowOff>8531</xdr:rowOff>
    </xdr:from>
    <xdr:to>
      <xdr:col>98</xdr:col>
      <xdr:colOff>71536</xdr:colOff>
      <xdr:row>25</xdr:row>
      <xdr:rowOff>10466</xdr:rowOff>
    </xdr:to>
    <xdr:cxnSp macro="">
      <xdr:nvCxnSpPr>
        <xdr:cNvPr id="326" name="直線コネクタ 325">
          <a:extLst>
            <a:ext uri="{FF2B5EF4-FFF2-40B4-BE49-F238E27FC236}">
              <a16:creationId xmlns:a16="http://schemas.microsoft.com/office/drawing/2014/main" id="{C32B86F5-A9E1-BA56-741D-00CFAAE29664}"/>
            </a:ext>
          </a:extLst>
        </xdr:cNvPr>
        <xdr:cNvCxnSpPr/>
      </xdr:nvCxnSpPr>
      <xdr:spPr>
        <a:xfrm flipH="1">
          <a:off x="21580010" y="3677017"/>
          <a:ext cx="589526" cy="205933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93004</xdr:colOff>
      <xdr:row>25</xdr:row>
      <xdr:rowOff>14820</xdr:rowOff>
    </xdr:from>
    <xdr:to>
      <xdr:col>97</xdr:col>
      <xdr:colOff>121221</xdr:colOff>
      <xdr:row>25</xdr:row>
      <xdr:rowOff>122820</xdr:rowOff>
    </xdr:to>
    <xdr:sp macro="" textlink="">
      <xdr:nvSpPr>
        <xdr:cNvPr id="327" name="正方形/長方形 326">
          <a:extLst>
            <a:ext uri="{FF2B5EF4-FFF2-40B4-BE49-F238E27FC236}">
              <a16:creationId xmlns:a16="http://schemas.microsoft.com/office/drawing/2014/main" id="{0F05EBE2-31E7-E1C3-41E5-C74BDB144726}"/>
            </a:ext>
          </a:extLst>
        </xdr:cNvPr>
        <xdr:cNvSpPr/>
      </xdr:nvSpPr>
      <xdr:spPr>
        <a:xfrm>
          <a:off x="21537861" y="5740706"/>
          <a:ext cx="463646" cy="10800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97</xdr:col>
      <xdr:colOff>1013</xdr:colOff>
      <xdr:row>16</xdr:row>
      <xdr:rowOff>135508</xdr:rowOff>
    </xdr:from>
    <xdr:to>
      <xdr:col>99</xdr:col>
      <xdr:colOff>120924</xdr:colOff>
      <xdr:row>25</xdr:row>
      <xdr:rowOff>10875</xdr:rowOff>
    </xdr:to>
    <xdr:cxnSp macro="">
      <xdr:nvCxnSpPr>
        <xdr:cNvPr id="328" name="直線コネクタ 327">
          <a:extLst>
            <a:ext uri="{FF2B5EF4-FFF2-40B4-BE49-F238E27FC236}">
              <a16:creationId xmlns:a16="http://schemas.microsoft.com/office/drawing/2014/main" id="{FA581850-AC89-A541-DDD3-34CC1E4A0878}"/>
            </a:ext>
          </a:extLst>
        </xdr:cNvPr>
        <xdr:cNvCxnSpPr/>
      </xdr:nvCxnSpPr>
      <xdr:spPr>
        <a:xfrm flipH="1">
          <a:off x="21881299" y="3803994"/>
          <a:ext cx="555339" cy="19327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20050</xdr:colOff>
      <xdr:row>23</xdr:row>
      <xdr:rowOff>116538</xdr:rowOff>
    </xdr:from>
    <xdr:to>
      <xdr:col>97</xdr:col>
      <xdr:colOff>106069</xdr:colOff>
      <xdr:row>23</xdr:row>
      <xdr:rowOff>116538</xdr:rowOff>
    </xdr:to>
    <xdr:cxnSp macro="">
      <xdr:nvCxnSpPr>
        <xdr:cNvPr id="329" name="直線コネクタ 328">
          <a:extLst>
            <a:ext uri="{FF2B5EF4-FFF2-40B4-BE49-F238E27FC236}">
              <a16:creationId xmlns:a16="http://schemas.microsoft.com/office/drawing/2014/main" id="{14A22B87-5AA3-0EB1-A439-18397BC53832}"/>
            </a:ext>
          </a:extLst>
        </xdr:cNvPr>
        <xdr:cNvCxnSpPr/>
      </xdr:nvCxnSpPr>
      <xdr:spPr>
        <a:xfrm>
          <a:off x="21682621" y="5385224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120199</xdr:colOff>
      <xdr:row>22</xdr:row>
      <xdr:rowOff>3326</xdr:rowOff>
    </xdr:from>
    <xdr:to>
      <xdr:col>97</xdr:col>
      <xdr:colOff>204041</xdr:colOff>
      <xdr:row>22</xdr:row>
      <xdr:rowOff>3326</xdr:rowOff>
    </xdr:to>
    <xdr:cxnSp macro="">
      <xdr:nvCxnSpPr>
        <xdr:cNvPr id="330" name="直線コネクタ 329">
          <a:extLst>
            <a:ext uri="{FF2B5EF4-FFF2-40B4-BE49-F238E27FC236}">
              <a16:creationId xmlns:a16="http://schemas.microsoft.com/office/drawing/2014/main" id="{40B3D269-7821-9312-513B-B894DAC39866}"/>
            </a:ext>
          </a:extLst>
        </xdr:cNvPr>
        <xdr:cNvCxnSpPr/>
      </xdr:nvCxnSpPr>
      <xdr:spPr>
        <a:xfrm>
          <a:off x="21782770" y="5043412"/>
          <a:ext cx="301557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96</xdr:col>
      <xdr:colOff>213816</xdr:colOff>
      <xdr:row>20</xdr:row>
      <xdr:rowOff>112184</xdr:rowOff>
    </xdr:from>
    <xdr:to>
      <xdr:col>98</xdr:col>
      <xdr:colOff>82121</xdr:colOff>
      <xdr:row>20</xdr:row>
      <xdr:rowOff>112184</xdr:rowOff>
    </xdr:to>
    <xdr:cxnSp macro="">
      <xdr:nvCxnSpPr>
        <xdr:cNvPr id="331" name="直線コネクタ 330">
          <a:extLst>
            <a:ext uri="{FF2B5EF4-FFF2-40B4-BE49-F238E27FC236}">
              <a16:creationId xmlns:a16="http://schemas.microsoft.com/office/drawing/2014/main" id="{A9D48D97-F356-3655-E556-BDCE11AD1F07}"/>
            </a:ext>
          </a:extLst>
        </xdr:cNvPr>
        <xdr:cNvCxnSpPr/>
      </xdr:nvCxnSpPr>
      <xdr:spPr>
        <a:xfrm>
          <a:off x="21876387" y="4695070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100604</xdr:colOff>
      <xdr:row>18</xdr:row>
      <xdr:rowOff>216686</xdr:rowOff>
    </xdr:from>
    <xdr:to>
      <xdr:col>98</xdr:col>
      <xdr:colOff>192974</xdr:colOff>
      <xdr:row>18</xdr:row>
      <xdr:rowOff>216686</xdr:rowOff>
    </xdr:to>
    <xdr:cxnSp macro="">
      <xdr:nvCxnSpPr>
        <xdr:cNvPr id="332" name="直線コネクタ 331">
          <a:extLst>
            <a:ext uri="{FF2B5EF4-FFF2-40B4-BE49-F238E27FC236}">
              <a16:creationId xmlns:a16="http://schemas.microsoft.com/office/drawing/2014/main" id="{44086CA0-F0AA-25C0-5E1C-CB2C75F6C64A}"/>
            </a:ext>
          </a:extLst>
        </xdr:cNvPr>
        <xdr:cNvCxnSpPr/>
      </xdr:nvCxnSpPr>
      <xdr:spPr>
        <a:xfrm>
          <a:off x="21980890" y="4342372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97</xdr:col>
      <xdr:colOff>207284</xdr:colOff>
      <xdr:row>17</xdr:row>
      <xdr:rowOff>99120</xdr:rowOff>
    </xdr:from>
    <xdr:to>
      <xdr:col>99</xdr:col>
      <xdr:colOff>75590</xdr:colOff>
      <xdr:row>17</xdr:row>
      <xdr:rowOff>99120</xdr:rowOff>
    </xdr:to>
    <xdr:cxnSp macro="">
      <xdr:nvCxnSpPr>
        <xdr:cNvPr id="333" name="直線コネクタ 332">
          <a:extLst>
            <a:ext uri="{FF2B5EF4-FFF2-40B4-BE49-F238E27FC236}">
              <a16:creationId xmlns:a16="http://schemas.microsoft.com/office/drawing/2014/main" id="{ACADD8B3-E841-3C0A-3444-4832876B7F0E}"/>
            </a:ext>
          </a:extLst>
        </xdr:cNvPr>
        <xdr:cNvCxnSpPr/>
      </xdr:nvCxnSpPr>
      <xdr:spPr>
        <a:xfrm>
          <a:off x="22087570" y="3996206"/>
          <a:ext cx="30373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98</xdr:col>
      <xdr:colOff>28350</xdr:colOff>
      <xdr:row>16</xdr:row>
      <xdr:rowOff>130009</xdr:rowOff>
    </xdr:from>
    <xdr:to>
      <xdr:col>100</xdr:col>
      <xdr:colOff>1022</xdr:colOff>
      <xdr:row>16</xdr:row>
      <xdr:rowOff>134491</xdr:rowOff>
    </xdr:to>
    <xdr:cxnSp macro="">
      <xdr:nvCxnSpPr>
        <xdr:cNvPr id="334" name="直線コネクタ 333">
          <a:extLst>
            <a:ext uri="{FF2B5EF4-FFF2-40B4-BE49-F238E27FC236}">
              <a16:creationId xmlns:a16="http://schemas.microsoft.com/office/drawing/2014/main" id="{DC0CDFE9-3BEA-8303-8485-3F0EF4635280}"/>
            </a:ext>
          </a:extLst>
        </xdr:cNvPr>
        <xdr:cNvCxnSpPr/>
      </xdr:nvCxnSpPr>
      <xdr:spPr>
        <a:xfrm>
          <a:off x="22126350" y="3798495"/>
          <a:ext cx="408101" cy="4482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101</xdr:col>
      <xdr:colOff>124104</xdr:colOff>
      <xdr:row>17</xdr:row>
      <xdr:rowOff>160592</xdr:rowOff>
    </xdr:from>
    <xdr:ext cx="502061" cy="224998"/>
    <xdr:sp macro="" textlink="$BA$5">
      <xdr:nvSpPr>
        <xdr:cNvPr id="335" name="テキスト ボックス 334">
          <a:extLst>
            <a:ext uri="{FF2B5EF4-FFF2-40B4-BE49-F238E27FC236}">
              <a16:creationId xmlns:a16="http://schemas.microsoft.com/office/drawing/2014/main" id="{ED8FF22B-A28E-F411-8825-A3FB0FDA7DA6}"/>
            </a:ext>
          </a:extLst>
        </xdr:cNvPr>
        <xdr:cNvSpPr txBox="1"/>
      </xdr:nvSpPr>
      <xdr:spPr>
        <a:xfrm>
          <a:off x="22862877" y="4005228"/>
          <a:ext cx="50206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2A372D1-6EA6-435E-AC83-F1DFE8018D0C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11.179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47138</xdr:colOff>
      <xdr:row>19</xdr:row>
      <xdr:rowOff>15026</xdr:rowOff>
    </xdr:from>
    <xdr:ext cx="242374" cy="444352"/>
    <xdr:sp macro="" textlink="$AQ$7">
      <xdr:nvSpPr>
        <xdr:cNvPr id="336" name="テキスト ボックス 335">
          <a:extLst>
            <a:ext uri="{FF2B5EF4-FFF2-40B4-BE49-F238E27FC236}">
              <a16:creationId xmlns:a16="http://schemas.microsoft.com/office/drawing/2014/main" id="{F53DBDE8-F014-3A8C-44CA-A6F52BA47F3B}"/>
            </a:ext>
          </a:extLst>
        </xdr:cNvPr>
        <xdr:cNvSpPr txBox="1"/>
      </xdr:nvSpPr>
      <xdr:spPr>
        <a:xfrm rot="17233223">
          <a:off x="22915006" y="4470301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2CCD555-D589-4A6A-89DF-E157EE6B33C7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3.942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203892</xdr:colOff>
      <xdr:row>20</xdr:row>
      <xdr:rowOff>66608</xdr:rowOff>
    </xdr:from>
    <xdr:ext cx="242374" cy="249748"/>
    <xdr:sp macro="" textlink="$AQ$7">
      <xdr:nvSpPr>
        <xdr:cNvPr id="337" name="テキスト ボックス 336">
          <a:extLst>
            <a:ext uri="{FF2B5EF4-FFF2-40B4-BE49-F238E27FC236}">
              <a16:creationId xmlns:a16="http://schemas.microsoft.com/office/drawing/2014/main" id="{D0E92789-6DF9-C714-C99A-92975D7638EA}"/>
            </a:ext>
          </a:extLst>
        </xdr:cNvPr>
        <xdr:cNvSpPr txBox="1"/>
      </xdr:nvSpPr>
      <xdr:spPr>
        <a:xfrm rot="17233223">
          <a:off x="22951348" y="4653181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138580</xdr:colOff>
      <xdr:row>21</xdr:row>
      <xdr:rowOff>20888</xdr:rowOff>
    </xdr:from>
    <xdr:ext cx="242374" cy="249748"/>
    <xdr:sp macro="" textlink="$AQ$7">
      <xdr:nvSpPr>
        <xdr:cNvPr id="338" name="テキスト ボックス 337">
          <a:extLst>
            <a:ext uri="{FF2B5EF4-FFF2-40B4-BE49-F238E27FC236}">
              <a16:creationId xmlns:a16="http://schemas.microsoft.com/office/drawing/2014/main" id="{EBCBC1B2-6349-70AA-48F1-9E5FFFD6C933}"/>
            </a:ext>
          </a:extLst>
        </xdr:cNvPr>
        <xdr:cNvSpPr txBox="1"/>
      </xdr:nvSpPr>
      <xdr:spPr>
        <a:xfrm rot="17233223">
          <a:off x="23103750" y="4836061"/>
          <a:ext cx="24974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t>=</a:t>
          </a:r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102</xdr:col>
      <xdr:colOff>191918</xdr:colOff>
      <xdr:row>19</xdr:row>
      <xdr:rowOff>182666</xdr:rowOff>
    </xdr:from>
    <xdr:ext cx="242374" cy="444352"/>
    <xdr:sp macro="" textlink="$AQ$5">
      <xdr:nvSpPr>
        <xdr:cNvPr id="339" name="テキスト ボックス 338">
          <a:extLst>
            <a:ext uri="{FF2B5EF4-FFF2-40B4-BE49-F238E27FC236}">
              <a16:creationId xmlns:a16="http://schemas.microsoft.com/office/drawing/2014/main" id="{39C7942D-6D6F-6B12-1799-0041B7D2C32E}"/>
            </a:ext>
          </a:extLst>
        </xdr:cNvPr>
        <xdr:cNvSpPr txBox="1"/>
      </xdr:nvSpPr>
      <xdr:spPr>
        <a:xfrm rot="17233223">
          <a:off x="23059786" y="4637941"/>
          <a:ext cx="444352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005E04E-EA04-40EC-ACD3-DAF6C1DAA75A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HGP明朝B" panose="02020800000000000000" pitchFamily="18" charset="-128"/>
              <a:cs typeface="Times New Roman"/>
            </a:rPr>
            <a:pPr/>
            <a:t>6.570</a:t>
          </a:fld>
          <a:endParaRPr kumimoji="1" lang="ja-JP" altLang="en-US" sz="900" i="1">
            <a:latin typeface="HGP明朝B" panose="02020800000000000000" pitchFamily="18" charset="-128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101</xdr:col>
      <xdr:colOff>137042</xdr:colOff>
      <xdr:row>16</xdr:row>
      <xdr:rowOff>1096</xdr:rowOff>
    </xdr:from>
    <xdr:ext cx="444352" cy="224998"/>
    <xdr:sp macro="" textlink="$BA$6">
      <xdr:nvSpPr>
        <xdr:cNvPr id="340" name="テキスト ボックス 339">
          <a:extLst>
            <a:ext uri="{FF2B5EF4-FFF2-40B4-BE49-F238E27FC236}">
              <a16:creationId xmlns:a16="http://schemas.microsoft.com/office/drawing/2014/main" id="{FDBB57EF-7F5A-2BAB-F92F-62B03C25576D}"/>
            </a:ext>
          </a:extLst>
        </xdr:cNvPr>
        <xdr:cNvSpPr txBox="1"/>
      </xdr:nvSpPr>
      <xdr:spPr>
        <a:xfrm rot="1249213">
          <a:off x="22875815" y="362059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9354638-FF5F-4867-97D4-49CAAA1229B0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5.672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94</xdr:col>
      <xdr:colOff>106018</xdr:colOff>
      <xdr:row>15</xdr:row>
      <xdr:rowOff>27882</xdr:rowOff>
    </xdr:from>
    <xdr:to>
      <xdr:col>95</xdr:col>
      <xdr:colOff>194116</xdr:colOff>
      <xdr:row>19</xdr:row>
      <xdr:rowOff>172721</xdr:rowOff>
    </xdr:to>
    <xdr:cxnSp macro="">
      <xdr:nvCxnSpPr>
        <xdr:cNvPr id="343" name="直線コネクタ 342">
          <a:extLst>
            <a:ext uri="{FF2B5EF4-FFF2-40B4-BE49-F238E27FC236}">
              <a16:creationId xmlns:a16="http://schemas.microsoft.com/office/drawing/2014/main" id="{64B8F650-B791-E106-C073-4D96B54BA5CD}"/>
            </a:ext>
          </a:extLst>
        </xdr:cNvPr>
        <xdr:cNvCxnSpPr/>
      </xdr:nvCxnSpPr>
      <xdr:spPr>
        <a:xfrm flipH="1">
          <a:off x="21333161" y="3467768"/>
          <a:ext cx="305812" cy="1059239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94</xdr:col>
      <xdr:colOff>70989</xdr:colOff>
      <xdr:row>19</xdr:row>
      <xdr:rowOff>154405</xdr:rowOff>
    </xdr:from>
    <xdr:to>
      <xdr:col>95</xdr:col>
      <xdr:colOff>56425</xdr:colOff>
      <xdr:row>19</xdr:row>
      <xdr:rowOff>210194</xdr:rowOff>
    </xdr:to>
    <xdr:cxnSp macro="">
      <xdr:nvCxnSpPr>
        <xdr:cNvPr id="344" name="直線コネクタ 343">
          <a:extLst>
            <a:ext uri="{FF2B5EF4-FFF2-40B4-BE49-F238E27FC236}">
              <a16:creationId xmlns:a16="http://schemas.microsoft.com/office/drawing/2014/main" id="{28916B7F-306F-D132-74C0-73F3D74DC470}"/>
            </a:ext>
          </a:extLst>
        </xdr:cNvPr>
        <xdr:cNvCxnSpPr/>
      </xdr:nvCxnSpPr>
      <xdr:spPr>
        <a:xfrm>
          <a:off x="21298132" y="4508691"/>
          <a:ext cx="203150" cy="5578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147107</xdr:colOff>
      <xdr:row>15</xdr:row>
      <xdr:rowOff>7198</xdr:rowOff>
    </xdr:from>
    <xdr:to>
      <xdr:col>96</xdr:col>
      <xdr:colOff>125236</xdr:colOff>
      <xdr:row>15</xdr:row>
      <xdr:rowOff>60999</xdr:rowOff>
    </xdr:to>
    <xdr:cxnSp macro="">
      <xdr:nvCxnSpPr>
        <xdr:cNvPr id="345" name="直線コネクタ 344">
          <a:extLst>
            <a:ext uri="{FF2B5EF4-FFF2-40B4-BE49-F238E27FC236}">
              <a16:creationId xmlns:a16="http://schemas.microsoft.com/office/drawing/2014/main" id="{04A24D0C-9ADF-3C4C-D381-818BD0A3C02F}"/>
            </a:ext>
          </a:extLst>
        </xdr:cNvPr>
        <xdr:cNvCxnSpPr/>
      </xdr:nvCxnSpPr>
      <xdr:spPr>
        <a:xfrm>
          <a:off x="21591964" y="3447084"/>
          <a:ext cx="195843" cy="53801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94</xdr:col>
      <xdr:colOff>15956</xdr:colOff>
      <xdr:row>17</xdr:row>
      <xdr:rowOff>42442</xdr:rowOff>
    </xdr:from>
    <xdr:ext cx="224998" cy="286297"/>
    <xdr:sp macro="" textlink="">
      <xdr:nvSpPr>
        <xdr:cNvPr id="346" name="テキスト ボックス 345">
          <a:extLst>
            <a:ext uri="{FF2B5EF4-FFF2-40B4-BE49-F238E27FC236}">
              <a16:creationId xmlns:a16="http://schemas.microsoft.com/office/drawing/2014/main" id="{1B446F3A-E63C-C32F-E312-4FC0C603E67B}"/>
            </a:ext>
          </a:extLst>
        </xdr:cNvPr>
        <xdr:cNvSpPr txBox="1"/>
      </xdr:nvSpPr>
      <xdr:spPr>
        <a:xfrm rot="17233223">
          <a:off x="21212449" y="3970178"/>
          <a:ext cx="28629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i</a:t>
          </a:r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ea typeface="HGP明朝B" panose="02020800000000000000" pitchFamily="18" charset="-128"/>
              <a:cs typeface="Times New Roman" panose="02020603050405020304" pitchFamily="18" charset="0"/>
            </a:rPr>
            <a:t>'</a:t>
          </a:r>
          <a:endParaRPr kumimoji="1" lang="ja-JP" altLang="en-US" sz="900" i="1">
            <a:solidFill>
              <a:srgbClr val="FF0000"/>
            </a:solidFill>
            <a:latin typeface="Times New Roman" panose="02020603050405020304" pitchFamily="18" charset="0"/>
            <a:ea typeface="HGP明朝B" panose="02020800000000000000" pitchFamily="18" charset="-128"/>
            <a:cs typeface="Times New Roman" panose="02020603050405020304" pitchFamily="18" charset="0"/>
          </a:endParaRPr>
        </a:p>
      </xdr:txBody>
    </xdr:sp>
    <xdr:clientData/>
  </xdr:oneCellAnchor>
  <xdr:twoCellAnchor>
    <xdr:from>
      <xdr:col>95</xdr:col>
      <xdr:colOff>186078</xdr:colOff>
      <xdr:row>23</xdr:row>
      <xdr:rowOff>92107</xdr:rowOff>
    </xdr:from>
    <xdr:to>
      <xdr:col>96</xdr:col>
      <xdr:colOff>19082</xdr:colOff>
      <xdr:row>23</xdr:row>
      <xdr:rowOff>144941</xdr:rowOff>
    </xdr:to>
    <xdr:sp macro="" textlink="">
      <xdr:nvSpPr>
        <xdr:cNvPr id="347" name="楕円 346">
          <a:extLst>
            <a:ext uri="{FF2B5EF4-FFF2-40B4-BE49-F238E27FC236}">
              <a16:creationId xmlns:a16="http://schemas.microsoft.com/office/drawing/2014/main" id="{7ACE3771-E37D-8DCD-2080-DEBB7CBAACA4}"/>
            </a:ext>
          </a:extLst>
        </xdr:cNvPr>
        <xdr:cNvSpPr/>
      </xdr:nvSpPr>
      <xdr:spPr>
        <a:xfrm>
          <a:off x="21630935" y="5360793"/>
          <a:ext cx="50718" cy="52834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95</xdr:col>
      <xdr:colOff>212035</xdr:colOff>
      <xdr:row>16</xdr:row>
      <xdr:rowOff>110556</xdr:rowOff>
    </xdr:from>
    <xdr:to>
      <xdr:col>99</xdr:col>
      <xdr:colOff>119270</xdr:colOff>
      <xdr:row>16</xdr:row>
      <xdr:rowOff>110556</xdr:rowOff>
    </xdr:to>
    <xdr:cxnSp macro="">
      <xdr:nvCxnSpPr>
        <xdr:cNvPr id="350" name="直線コネクタ 349">
          <a:extLst>
            <a:ext uri="{FF2B5EF4-FFF2-40B4-BE49-F238E27FC236}">
              <a16:creationId xmlns:a16="http://schemas.microsoft.com/office/drawing/2014/main" id="{6862A296-0DD6-1700-6A54-BAF4125569D2}"/>
            </a:ext>
          </a:extLst>
        </xdr:cNvPr>
        <xdr:cNvCxnSpPr/>
      </xdr:nvCxnSpPr>
      <xdr:spPr>
        <a:xfrm>
          <a:off x="21656892" y="3779042"/>
          <a:ext cx="778092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99</xdr:col>
      <xdr:colOff>121334</xdr:colOff>
      <xdr:row>16</xdr:row>
      <xdr:rowOff>76068</xdr:rowOff>
    </xdr:from>
    <xdr:to>
      <xdr:col>99</xdr:col>
      <xdr:colOff>121334</xdr:colOff>
      <xdr:row>17</xdr:row>
      <xdr:rowOff>5178</xdr:rowOff>
    </xdr:to>
    <xdr:cxnSp macro="">
      <xdr:nvCxnSpPr>
        <xdr:cNvPr id="351" name="直線コネクタ 350">
          <a:extLst>
            <a:ext uri="{FF2B5EF4-FFF2-40B4-BE49-F238E27FC236}">
              <a16:creationId xmlns:a16="http://schemas.microsoft.com/office/drawing/2014/main" id="{5BF624D3-305F-8C6D-0905-9E7950EC5A8C}"/>
            </a:ext>
          </a:extLst>
        </xdr:cNvPr>
        <xdr:cNvCxnSpPr/>
      </xdr:nvCxnSpPr>
      <xdr:spPr>
        <a:xfrm>
          <a:off x="22437048" y="3744554"/>
          <a:ext cx="0" cy="15771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207356</xdr:colOff>
      <xdr:row>16</xdr:row>
      <xdr:rowOff>38807</xdr:rowOff>
    </xdr:from>
    <xdr:to>
      <xdr:col>95</xdr:col>
      <xdr:colOff>207356</xdr:colOff>
      <xdr:row>17</xdr:row>
      <xdr:rowOff>25555</xdr:rowOff>
    </xdr:to>
    <xdr:cxnSp macro="">
      <xdr:nvCxnSpPr>
        <xdr:cNvPr id="352" name="直線コネクタ 351">
          <a:extLst>
            <a:ext uri="{FF2B5EF4-FFF2-40B4-BE49-F238E27FC236}">
              <a16:creationId xmlns:a16="http://schemas.microsoft.com/office/drawing/2014/main" id="{E6BFDC70-A0E5-225E-22D5-4C7729C0A3F3}"/>
            </a:ext>
          </a:extLst>
        </xdr:cNvPr>
        <xdr:cNvCxnSpPr/>
      </xdr:nvCxnSpPr>
      <xdr:spPr>
        <a:xfrm flipV="1">
          <a:off x="21652213" y="3707293"/>
          <a:ext cx="0" cy="215348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97</xdr:col>
      <xdr:colOff>49164</xdr:colOff>
      <xdr:row>15</xdr:row>
      <xdr:rowOff>176301</xdr:rowOff>
    </xdr:from>
    <xdr:ext cx="316049" cy="224998"/>
    <xdr:sp macro="" textlink="">
      <xdr:nvSpPr>
        <xdr:cNvPr id="353" name="テキスト ボックス 352">
          <a:extLst>
            <a:ext uri="{FF2B5EF4-FFF2-40B4-BE49-F238E27FC236}">
              <a16:creationId xmlns:a16="http://schemas.microsoft.com/office/drawing/2014/main" id="{DDEC2A1A-A7B7-5907-661C-61ECA84FFCA5}"/>
            </a:ext>
          </a:extLst>
        </xdr:cNvPr>
        <xdr:cNvSpPr txBox="1"/>
      </xdr:nvSpPr>
      <xdr:spPr>
        <a:xfrm>
          <a:off x="21929450" y="3616187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95</xdr:col>
      <xdr:colOff>140811</xdr:colOff>
      <xdr:row>17</xdr:row>
      <xdr:rowOff>154764</xdr:rowOff>
    </xdr:from>
    <xdr:to>
      <xdr:col>95</xdr:col>
      <xdr:colOff>140811</xdr:colOff>
      <xdr:row>23</xdr:row>
      <xdr:rowOff>118321</xdr:rowOff>
    </xdr:to>
    <xdr:cxnSp macro="">
      <xdr:nvCxnSpPr>
        <xdr:cNvPr id="354" name="直線コネクタ 353">
          <a:extLst>
            <a:ext uri="{FF2B5EF4-FFF2-40B4-BE49-F238E27FC236}">
              <a16:creationId xmlns:a16="http://schemas.microsoft.com/office/drawing/2014/main" id="{4750E1B9-7003-F08B-2770-63987CE258DB}"/>
            </a:ext>
          </a:extLst>
        </xdr:cNvPr>
        <xdr:cNvCxnSpPr/>
      </xdr:nvCxnSpPr>
      <xdr:spPr>
        <a:xfrm>
          <a:off x="21585668" y="4051850"/>
          <a:ext cx="0" cy="1335157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95</xdr:col>
      <xdr:colOff>86139</xdr:colOff>
      <xdr:row>17</xdr:row>
      <xdr:rowOff>142570</xdr:rowOff>
    </xdr:from>
    <xdr:to>
      <xdr:col>99</xdr:col>
      <xdr:colOff>52950</xdr:colOff>
      <xdr:row>17</xdr:row>
      <xdr:rowOff>142570</xdr:rowOff>
    </xdr:to>
    <xdr:cxnSp macro="">
      <xdr:nvCxnSpPr>
        <xdr:cNvPr id="355" name="直線コネクタ 354">
          <a:extLst>
            <a:ext uri="{FF2B5EF4-FFF2-40B4-BE49-F238E27FC236}">
              <a16:creationId xmlns:a16="http://schemas.microsoft.com/office/drawing/2014/main" id="{FAA2F009-5E88-82CC-CC1F-614E7532197F}"/>
            </a:ext>
          </a:extLst>
        </xdr:cNvPr>
        <xdr:cNvCxnSpPr/>
      </xdr:nvCxnSpPr>
      <xdr:spPr>
        <a:xfrm>
          <a:off x="21530996" y="4039656"/>
          <a:ext cx="837668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94</xdr:col>
      <xdr:colOff>150012</xdr:colOff>
      <xdr:row>20</xdr:row>
      <xdr:rowOff>179420</xdr:rowOff>
    </xdr:from>
    <xdr:ext cx="224998" cy="316049"/>
    <xdr:sp macro="" textlink="">
      <xdr:nvSpPr>
        <xdr:cNvPr id="356" name="テキスト ボックス 355">
          <a:extLst>
            <a:ext uri="{FF2B5EF4-FFF2-40B4-BE49-F238E27FC236}">
              <a16:creationId xmlns:a16="http://schemas.microsoft.com/office/drawing/2014/main" id="{C44F0083-5503-8F03-3975-8E4F8FD743F4}"/>
            </a:ext>
          </a:extLst>
        </xdr:cNvPr>
        <xdr:cNvSpPr txBox="1"/>
      </xdr:nvSpPr>
      <xdr:spPr>
        <a:xfrm rot="16200000">
          <a:off x="21331629" y="4807832"/>
          <a:ext cx="316049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zi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93</xdr:col>
      <xdr:colOff>133826</xdr:colOff>
      <xdr:row>16</xdr:row>
      <xdr:rowOff>23107</xdr:rowOff>
    </xdr:from>
    <xdr:to>
      <xdr:col>93</xdr:col>
      <xdr:colOff>133826</xdr:colOff>
      <xdr:row>20</xdr:row>
      <xdr:rowOff>214399</xdr:rowOff>
    </xdr:to>
    <xdr:cxnSp macro="">
      <xdr:nvCxnSpPr>
        <xdr:cNvPr id="365" name="直線コネクタ 364">
          <a:extLst>
            <a:ext uri="{FF2B5EF4-FFF2-40B4-BE49-F238E27FC236}">
              <a16:creationId xmlns:a16="http://schemas.microsoft.com/office/drawing/2014/main" id="{848510C3-02B1-930B-B364-440E1BF32508}"/>
            </a:ext>
          </a:extLst>
        </xdr:cNvPr>
        <xdr:cNvCxnSpPr/>
      </xdr:nvCxnSpPr>
      <xdr:spPr>
        <a:xfrm>
          <a:off x="21143255" y="3691593"/>
          <a:ext cx="0" cy="1105692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92</xdr:col>
      <xdr:colOff>153588</xdr:colOff>
      <xdr:row>18</xdr:row>
      <xdr:rowOff>78086</xdr:rowOff>
    </xdr:from>
    <xdr:ext cx="224998" cy="290464"/>
    <xdr:sp macro="" textlink="">
      <xdr:nvSpPr>
        <xdr:cNvPr id="367" name="テキスト ボックス 366">
          <a:extLst>
            <a:ext uri="{FF2B5EF4-FFF2-40B4-BE49-F238E27FC236}">
              <a16:creationId xmlns:a16="http://schemas.microsoft.com/office/drawing/2014/main" id="{10D3AABD-FEDD-9C34-9091-38554BB65A44}"/>
            </a:ext>
          </a:extLst>
        </xdr:cNvPr>
        <xdr:cNvSpPr txBox="1"/>
      </xdr:nvSpPr>
      <xdr:spPr>
        <a:xfrm rot="16200000">
          <a:off x="20912569" y="4236505"/>
          <a:ext cx="290464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z</a:t>
          </a:r>
          <a:r>
            <a:rPr kumimoji="1" lang="en-US" altLang="ja-JP" sz="900" i="1" baseline="-250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i</a:t>
          </a:r>
          <a:r>
            <a:rPr kumimoji="1" lang="ja-JP" altLang="en-US" sz="9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  <xdr:twoCellAnchor editAs="oneCell">
    <xdr:from>
      <xdr:col>92</xdr:col>
      <xdr:colOff>39757</xdr:colOff>
      <xdr:row>23</xdr:row>
      <xdr:rowOff>118771</xdr:rowOff>
    </xdr:from>
    <xdr:to>
      <xdr:col>95</xdr:col>
      <xdr:colOff>145773</xdr:colOff>
      <xdr:row>23</xdr:row>
      <xdr:rowOff>118771</xdr:rowOff>
    </xdr:to>
    <xdr:cxnSp macro="">
      <xdr:nvCxnSpPr>
        <xdr:cNvPr id="369" name="直線コネクタ 368">
          <a:extLst>
            <a:ext uri="{FF2B5EF4-FFF2-40B4-BE49-F238E27FC236}">
              <a16:creationId xmlns:a16="http://schemas.microsoft.com/office/drawing/2014/main" id="{7BF45264-C864-8360-4530-0D13DB17AD8E}"/>
            </a:ext>
          </a:extLst>
        </xdr:cNvPr>
        <xdr:cNvCxnSpPr/>
      </xdr:nvCxnSpPr>
      <xdr:spPr>
        <a:xfrm>
          <a:off x="20831471" y="5387457"/>
          <a:ext cx="759159" cy="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170</xdr:col>
      <xdr:colOff>63739</xdr:colOff>
      <xdr:row>4</xdr:row>
      <xdr:rowOff>193827</xdr:rowOff>
    </xdr:from>
    <xdr:to>
      <xdr:col>172</xdr:col>
      <xdr:colOff>16327</xdr:colOff>
      <xdr:row>4</xdr:row>
      <xdr:rowOff>193827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147D2CF-BA86-4192-B5F1-CA14168706CC}"/>
            </a:ext>
          </a:extLst>
        </xdr:cNvPr>
        <xdr:cNvCxnSpPr/>
      </xdr:nvCxnSpPr>
      <xdr:spPr>
        <a:xfrm>
          <a:off x="38925739" y="1108227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169</xdr:col>
      <xdr:colOff>86113</xdr:colOff>
      <xdr:row>4</xdr:row>
      <xdr:rowOff>195086</xdr:rowOff>
    </xdr:from>
    <xdr:to>
      <xdr:col>172</xdr:col>
      <xdr:colOff>15805</xdr:colOff>
      <xdr:row>14</xdr:row>
      <xdr:rowOff>29111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ED5C86D-07D5-4182-8E35-7BDEE6AA1392}"/>
            </a:ext>
          </a:extLst>
        </xdr:cNvPr>
        <xdr:cNvCxnSpPr/>
      </xdr:nvCxnSpPr>
      <xdr:spPr>
        <a:xfrm flipH="1">
          <a:off x="38719513" y="1109486"/>
          <a:ext cx="615492" cy="212002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167</xdr:col>
      <xdr:colOff>132032</xdr:colOff>
      <xdr:row>4</xdr:row>
      <xdr:rowOff>195013</xdr:rowOff>
    </xdr:from>
    <xdr:to>
      <xdr:col>170</xdr:col>
      <xdr:colOff>62972</xdr:colOff>
      <xdr:row>14</xdr:row>
      <xdr:rowOff>33392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FCC8D445-68B5-471A-A461-C108331478EB}"/>
            </a:ext>
          </a:extLst>
        </xdr:cNvPr>
        <xdr:cNvCxnSpPr/>
      </xdr:nvCxnSpPr>
      <xdr:spPr>
        <a:xfrm flipH="1">
          <a:off x="38308232" y="1109413"/>
          <a:ext cx="616740" cy="212437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167</xdr:col>
      <xdr:colOff>82849</xdr:colOff>
      <xdr:row>14</xdr:row>
      <xdr:rowOff>9647</xdr:rowOff>
    </xdr:from>
    <xdr:to>
      <xdr:col>169</xdr:col>
      <xdr:colOff>107437</xdr:colOff>
      <xdr:row>14</xdr:row>
      <xdr:rowOff>102490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27E16836-48EE-47CC-A798-A74B0B4BD484}"/>
            </a:ext>
          </a:extLst>
        </xdr:cNvPr>
        <xdr:cNvSpPr/>
      </xdr:nvSpPr>
      <xdr:spPr>
        <a:xfrm>
          <a:off x="38259049" y="321004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168</xdr:col>
      <xdr:colOff>222864</xdr:colOff>
      <xdr:row>5</xdr:row>
      <xdr:rowOff>88700</xdr:rowOff>
    </xdr:from>
    <xdr:to>
      <xdr:col>171</xdr:col>
      <xdr:colOff>110546</xdr:colOff>
      <xdr:row>14</xdr:row>
      <xdr:rowOff>29111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6FB54DDF-7AED-4BF5-BAF7-342D2E6A9C9D}"/>
            </a:ext>
          </a:extLst>
        </xdr:cNvPr>
        <xdr:cNvCxnSpPr/>
      </xdr:nvCxnSpPr>
      <xdr:spPr>
        <a:xfrm flipH="1">
          <a:off x="38627664" y="1231700"/>
          <a:ext cx="573482" cy="199781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15113</xdr:colOff>
      <xdr:row>12</xdr:row>
      <xdr:rowOff>117356</xdr:rowOff>
    </xdr:from>
    <xdr:to>
      <xdr:col>169</xdr:col>
      <xdr:colOff>99318</xdr:colOff>
      <xdr:row>12</xdr:row>
      <xdr:rowOff>117356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BC86E5CD-8B1F-4CB0-8605-921E71111798}"/>
            </a:ext>
          </a:extLst>
        </xdr:cNvPr>
        <xdr:cNvCxnSpPr/>
      </xdr:nvCxnSpPr>
      <xdr:spPr>
        <a:xfrm>
          <a:off x="38419913" y="2860556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115263</xdr:colOff>
      <xdr:row>10</xdr:row>
      <xdr:rowOff>225942</xdr:rowOff>
    </xdr:from>
    <xdr:to>
      <xdr:col>169</xdr:col>
      <xdr:colOff>206363</xdr:colOff>
      <xdr:row>10</xdr:row>
      <xdr:rowOff>225942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AE2DF6AD-2B49-45A5-A918-150CB1C30189}"/>
            </a:ext>
          </a:extLst>
        </xdr:cNvPr>
        <xdr:cNvCxnSpPr/>
      </xdr:nvCxnSpPr>
      <xdr:spPr>
        <a:xfrm>
          <a:off x="38520063" y="2511942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217952</xdr:colOff>
      <xdr:row>9</xdr:row>
      <xdr:rowOff>103478</xdr:rowOff>
    </xdr:from>
    <xdr:to>
      <xdr:col>170</xdr:col>
      <xdr:colOff>73558</xdr:colOff>
      <xdr:row>9</xdr:row>
      <xdr:rowOff>103478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BB550594-7AE3-4757-A49D-9B9609FC9EDE}"/>
            </a:ext>
          </a:extLst>
        </xdr:cNvPr>
        <xdr:cNvCxnSpPr/>
      </xdr:nvCxnSpPr>
      <xdr:spPr>
        <a:xfrm>
          <a:off x="38622752" y="2160878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169</xdr:col>
      <xdr:colOff>93855</xdr:colOff>
      <xdr:row>7</xdr:row>
      <xdr:rowOff>201175</xdr:rowOff>
    </xdr:from>
    <xdr:to>
      <xdr:col>170</xdr:col>
      <xdr:colOff>175339</xdr:colOff>
      <xdr:row>7</xdr:row>
      <xdr:rowOff>201175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D2126E72-A158-4631-91FC-F3346E0FBD64}"/>
            </a:ext>
          </a:extLst>
        </xdr:cNvPr>
        <xdr:cNvCxnSpPr/>
      </xdr:nvCxnSpPr>
      <xdr:spPr>
        <a:xfrm>
          <a:off x="38727255" y="1801375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169</xdr:col>
      <xdr:colOff>197881</xdr:colOff>
      <xdr:row>6</xdr:row>
      <xdr:rowOff>59117</xdr:rowOff>
    </xdr:from>
    <xdr:to>
      <xdr:col>171</xdr:col>
      <xdr:colOff>53486</xdr:colOff>
      <xdr:row>6</xdr:row>
      <xdr:rowOff>59117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51487A13-A061-4A53-B02D-C03DA28EF738}"/>
            </a:ext>
          </a:extLst>
        </xdr:cNvPr>
        <xdr:cNvCxnSpPr/>
      </xdr:nvCxnSpPr>
      <xdr:spPr>
        <a:xfrm>
          <a:off x="38831281" y="143071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170</xdr:col>
      <xdr:colOff>19786</xdr:colOff>
      <xdr:row>5</xdr:row>
      <xdr:rowOff>83201</xdr:rowOff>
    </xdr:from>
    <xdr:to>
      <xdr:col>171</xdr:col>
      <xdr:colOff>217430</xdr:colOff>
      <xdr:row>5</xdr:row>
      <xdr:rowOff>83201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8D74E877-9980-4782-ACEC-C9467227EF97}"/>
            </a:ext>
          </a:extLst>
        </xdr:cNvPr>
        <xdr:cNvCxnSpPr/>
      </xdr:nvCxnSpPr>
      <xdr:spPr>
        <a:xfrm>
          <a:off x="38881786" y="122620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167</xdr:col>
      <xdr:colOff>216250</xdr:colOff>
      <xdr:row>12</xdr:row>
      <xdr:rowOff>84086</xdr:rowOff>
    </xdr:from>
    <xdr:ext cx="37664" cy="42986"/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545C48C1-9D95-4364-947C-7D5921DA826B}"/>
            </a:ext>
          </a:extLst>
        </xdr:cNvPr>
        <xdr:cNvSpPr/>
      </xdr:nvSpPr>
      <xdr:spPr>
        <a:xfrm>
          <a:off x="38392450" y="2827286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168</xdr:col>
      <xdr:colOff>130307</xdr:colOff>
      <xdr:row>13</xdr:row>
      <xdr:rowOff>45809</xdr:rowOff>
    </xdr:from>
    <xdr:ext cx="37664" cy="42986"/>
    <xdr:sp macro="" textlink="">
      <xdr:nvSpPr>
        <xdr:cNvPr id="17" name="楕円 16">
          <a:extLst>
            <a:ext uri="{FF2B5EF4-FFF2-40B4-BE49-F238E27FC236}">
              <a16:creationId xmlns:a16="http://schemas.microsoft.com/office/drawing/2014/main" id="{B2E6764A-4C55-4C8A-BB02-296D8D2FC8F9}"/>
            </a:ext>
          </a:extLst>
        </xdr:cNvPr>
        <xdr:cNvSpPr/>
      </xdr:nvSpPr>
      <xdr:spPr>
        <a:xfrm>
          <a:off x="38535107" y="301760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167</xdr:col>
      <xdr:colOff>40545</xdr:colOff>
      <xdr:row>9</xdr:row>
      <xdr:rowOff>129489</xdr:rowOff>
    </xdr:from>
    <xdr:ext cx="444352" cy="224998"/>
    <xdr:sp macro="" textlink="$ES$11">
      <xdr:nvSpPr>
        <xdr:cNvPr id="21" name="テキスト ボックス 20">
          <a:extLst>
            <a:ext uri="{FF2B5EF4-FFF2-40B4-BE49-F238E27FC236}">
              <a16:creationId xmlns:a16="http://schemas.microsoft.com/office/drawing/2014/main" id="{50BC6F04-E645-4437-8C6B-CEDB82CBF55A}"/>
            </a:ext>
          </a:extLst>
        </xdr:cNvPr>
        <xdr:cNvSpPr txBox="1"/>
      </xdr:nvSpPr>
      <xdr:spPr>
        <a:xfrm>
          <a:off x="38216745" y="218688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24636DB-BD67-4ABB-A3EC-F989EB98505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168</xdr:col>
      <xdr:colOff>4690</xdr:colOff>
      <xdr:row>10</xdr:row>
      <xdr:rowOff>102643</xdr:rowOff>
    </xdr:from>
    <xdr:to>
      <xdr:col>168</xdr:col>
      <xdr:colOff>105127</xdr:colOff>
      <xdr:row>10</xdr:row>
      <xdr:rowOff>102643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E6DB4532-9387-4D89-8632-EEEA38362585}"/>
            </a:ext>
          </a:extLst>
        </xdr:cNvPr>
        <xdr:cNvCxnSpPr/>
      </xdr:nvCxnSpPr>
      <xdr:spPr>
        <a:xfrm>
          <a:off x="38409490" y="2388643"/>
          <a:ext cx="10043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4324</xdr:colOff>
      <xdr:row>10</xdr:row>
      <xdr:rowOff>66715</xdr:rowOff>
    </xdr:from>
    <xdr:to>
      <xdr:col>168</xdr:col>
      <xdr:colOff>4324</xdr:colOff>
      <xdr:row>11</xdr:row>
      <xdr:rowOff>44370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D1AA00A9-DC21-4E07-9B1C-86AA22F6D487}"/>
            </a:ext>
          </a:extLst>
        </xdr:cNvPr>
        <xdr:cNvCxnSpPr/>
      </xdr:nvCxnSpPr>
      <xdr:spPr>
        <a:xfrm>
          <a:off x="38409124" y="2352715"/>
          <a:ext cx="0" cy="20625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167</xdr:col>
      <xdr:colOff>227958</xdr:colOff>
      <xdr:row>11</xdr:row>
      <xdr:rowOff>219003</xdr:rowOff>
    </xdr:from>
    <xdr:to>
      <xdr:col>168</xdr:col>
      <xdr:colOff>5708</xdr:colOff>
      <xdr:row>12</xdr:row>
      <xdr:rowOff>49069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4AD2C41-0A11-4B9F-AC02-72B1E37B61A1}"/>
            </a:ext>
          </a:extLst>
        </xdr:cNvPr>
        <xdr:cNvCxnSpPr/>
      </xdr:nvCxnSpPr>
      <xdr:spPr>
        <a:xfrm>
          <a:off x="38404158" y="2733603"/>
          <a:ext cx="635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169</xdr:col>
      <xdr:colOff>106510</xdr:colOff>
      <xdr:row>10</xdr:row>
      <xdr:rowOff>17098</xdr:rowOff>
    </xdr:from>
    <xdr:ext cx="37664" cy="42986"/>
    <xdr:sp macro="" textlink="">
      <xdr:nvSpPr>
        <xdr:cNvPr id="30" name="楕円 29">
          <a:extLst>
            <a:ext uri="{FF2B5EF4-FFF2-40B4-BE49-F238E27FC236}">
              <a16:creationId xmlns:a16="http://schemas.microsoft.com/office/drawing/2014/main" id="{74F89EAB-86D8-45E6-BDD3-B22EB0DB420E}"/>
            </a:ext>
          </a:extLst>
        </xdr:cNvPr>
        <xdr:cNvSpPr/>
      </xdr:nvSpPr>
      <xdr:spPr>
        <a:xfrm>
          <a:off x="38739910" y="230309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168</xdr:col>
      <xdr:colOff>3936</xdr:colOff>
      <xdr:row>8</xdr:row>
      <xdr:rowOff>222137</xdr:rowOff>
    </xdr:from>
    <xdr:to>
      <xdr:col>168</xdr:col>
      <xdr:colOff>199124</xdr:colOff>
      <xdr:row>8</xdr:row>
      <xdr:rowOff>222137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DB1B2BAE-6075-A168-365B-D2F5EC7658B7}"/>
            </a:ext>
          </a:extLst>
        </xdr:cNvPr>
        <xdr:cNvCxnSpPr/>
      </xdr:nvCxnSpPr>
      <xdr:spPr>
        <a:xfrm>
          <a:off x="38408736" y="2050937"/>
          <a:ext cx="195188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4324</xdr:colOff>
      <xdr:row>8</xdr:row>
      <xdr:rowOff>162846</xdr:rowOff>
    </xdr:from>
    <xdr:to>
      <xdr:col>168</xdr:col>
      <xdr:colOff>4324</xdr:colOff>
      <xdr:row>9</xdr:row>
      <xdr:rowOff>87592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DD452146-5084-9281-575A-57C0F1B52E86}"/>
            </a:ext>
          </a:extLst>
        </xdr:cNvPr>
        <xdr:cNvCxnSpPr/>
      </xdr:nvCxnSpPr>
      <xdr:spPr>
        <a:xfrm>
          <a:off x="38409124" y="1991646"/>
          <a:ext cx="0" cy="15334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100177</xdr:colOff>
      <xdr:row>10</xdr:row>
      <xdr:rowOff>81843</xdr:rowOff>
    </xdr:from>
    <xdr:to>
      <xdr:col>168</xdr:col>
      <xdr:colOff>100177</xdr:colOff>
      <xdr:row>10</xdr:row>
      <xdr:rowOff>139337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B10C7332-EDD0-444C-2389-AA59BBF218EE}"/>
            </a:ext>
          </a:extLst>
        </xdr:cNvPr>
        <xdr:cNvCxnSpPr/>
      </xdr:nvCxnSpPr>
      <xdr:spPr>
        <a:xfrm>
          <a:off x="38504977" y="2367843"/>
          <a:ext cx="0" cy="57494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167</xdr:col>
      <xdr:colOff>112905</xdr:colOff>
      <xdr:row>7</xdr:row>
      <xdr:rowOff>202425</xdr:rowOff>
    </xdr:from>
    <xdr:ext cx="444352" cy="224998"/>
    <xdr:sp macro="" textlink="$ES$10">
      <xdr:nvSpPr>
        <xdr:cNvPr id="26" name="テキスト ボックス 25">
          <a:extLst>
            <a:ext uri="{FF2B5EF4-FFF2-40B4-BE49-F238E27FC236}">
              <a16:creationId xmlns:a16="http://schemas.microsoft.com/office/drawing/2014/main" id="{6AB4CC6E-A531-4F39-5C5E-33A078724845}"/>
            </a:ext>
          </a:extLst>
        </xdr:cNvPr>
        <xdr:cNvSpPr txBox="1"/>
      </xdr:nvSpPr>
      <xdr:spPr>
        <a:xfrm>
          <a:off x="38289105" y="180262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4C79409-7AAF-4F44-A0A9-6CBACDE45741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0.800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168</xdr:col>
      <xdr:colOff>14822</xdr:colOff>
      <xdr:row>7</xdr:row>
      <xdr:rowOff>87736</xdr:rowOff>
    </xdr:from>
    <xdr:to>
      <xdr:col>169</xdr:col>
      <xdr:colOff>83401</xdr:colOff>
      <xdr:row>7</xdr:row>
      <xdr:rowOff>87736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5651583F-8DFA-4D1F-9E20-6859ACA05A6E}"/>
            </a:ext>
          </a:extLst>
        </xdr:cNvPr>
        <xdr:cNvCxnSpPr/>
      </xdr:nvCxnSpPr>
      <xdr:spPr>
        <a:xfrm>
          <a:off x="38419622" y="1687936"/>
          <a:ext cx="297179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4324</xdr:colOff>
      <xdr:row>7</xdr:row>
      <xdr:rowOff>44773</xdr:rowOff>
    </xdr:from>
    <xdr:to>
      <xdr:col>168</xdr:col>
      <xdr:colOff>4324</xdr:colOff>
      <xdr:row>7</xdr:row>
      <xdr:rowOff>177521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806C7FFB-1013-46DB-A0E5-F2C5B973EC9D}"/>
            </a:ext>
          </a:extLst>
        </xdr:cNvPr>
        <xdr:cNvCxnSpPr/>
      </xdr:nvCxnSpPr>
      <xdr:spPr>
        <a:xfrm>
          <a:off x="38409124" y="1644973"/>
          <a:ext cx="0" cy="132748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204513</xdr:colOff>
      <xdr:row>8</xdr:row>
      <xdr:rowOff>192371</xdr:rowOff>
    </xdr:from>
    <xdr:to>
      <xdr:col>168</xdr:col>
      <xdr:colOff>204513</xdr:colOff>
      <xdr:row>9</xdr:row>
      <xdr:rowOff>22437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F0969946-F7AF-4C5C-96EE-AE6BC3990674}"/>
            </a:ext>
          </a:extLst>
        </xdr:cNvPr>
        <xdr:cNvCxnSpPr/>
      </xdr:nvCxnSpPr>
      <xdr:spPr>
        <a:xfrm>
          <a:off x="38609313" y="202117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167</xdr:col>
      <xdr:colOff>173948</xdr:colOff>
      <xdr:row>6</xdr:row>
      <xdr:rowOff>114325</xdr:rowOff>
    </xdr:from>
    <xdr:ext cx="444352" cy="224998"/>
    <xdr:sp macro="" textlink="$ES$9">
      <xdr:nvSpPr>
        <xdr:cNvPr id="32" name="テキスト ボックス 31">
          <a:extLst>
            <a:ext uri="{FF2B5EF4-FFF2-40B4-BE49-F238E27FC236}">
              <a16:creationId xmlns:a16="http://schemas.microsoft.com/office/drawing/2014/main" id="{FA5AE880-F30F-403A-A53B-A0F8ACEDFAE0}"/>
            </a:ext>
          </a:extLst>
        </xdr:cNvPr>
        <xdr:cNvSpPr txBox="1"/>
      </xdr:nvSpPr>
      <xdr:spPr>
        <a:xfrm>
          <a:off x="38350148" y="148592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6F788E3-5CE6-476E-8DDD-76FC31041DB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1.200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168</xdr:col>
      <xdr:colOff>8626</xdr:colOff>
      <xdr:row>5</xdr:row>
      <xdr:rowOff>186220</xdr:rowOff>
    </xdr:from>
    <xdr:to>
      <xdr:col>169</xdr:col>
      <xdr:colOff>185057</xdr:colOff>
      <xdr:row>5</xdr:row>
      <xdr:rowOff>186220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CCBCE4A4-55A5-46CE-9DD1-9FE797FB1F2A}"/>
            </a:ext>
          </a:extLst>
        </xdr:cNvPr>
        <xdr:cNvCxnSpPr/>
      </xdr:nvCxnSpPr>
      <xdr:spPr>
        <a:xfrm>
          <a:off x="38413426" y="1329220"/>
          <a:ext cx="405031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168</xdr:col>
      <xdr:colOff>4324</xdr:colOff>
      <xdr:row>5</xdr:row>
      <xdr:rowOff>128929</xdr:rowOff>
    </xdr:from>
    <xdr:to>
      <xdr:col>168</xdr:col>
      <xdr:colOff>4324</xdr:colOff>
      <xdr:row>6</xdr:row>
      <xdr:rowOff>54764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E9F87DD3-542C-41E8-B5D7-6839C646D29F}"/>
            </a:ext>
          </a:extLst>
        </xdr:cNvPr>
        <xdr:cNvCxnSpPr/>
      </xdr:nvCxnSpPr>
      <xdr:spPr>
        <a:xfrm>
          <a:off x="38409124" y="1271929"/>
          <a:ext cx="0" cy="15443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169</xdr:col>
      <xdr:colOff>83765</xdr:colOff>
      <xdr:row>7</xdr:row>
      <xdr:rowOff>59901</xdr:rowOff>
    </xdr:from>
    <xdr:to>
      <xdr:col>169</xdr:col>
      <xdr:colOff>83765</xdr:colOff>
      <xdr:row>7</xdr:row>
      <xdr:rowOff>118567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EE392893-068E-4290-9988-A86DC405D89E}"/>
            </a:ext>
          </a:extLst>
        </xdr:cNvPr>
        <xdr:cNvCxnSpPr/>
      </xdr:nvCxnSpPr>
      <xdr:spPr>
        <a:xfrm>
          <a:off x="38717165" y="166010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167</xdr:col>
      <xdr:colOff>225531</xdr:colOff>
      <xdr:row>5</xdr:row>
      <xdr:rowOff>5645</xdr:rowOff>
    </xdr:from>
    <xdr:ext cx="444352" cy="224998"/>
    <xdr:sp macro="" textlink="$ES$8">
      <xdr:nvSpPr>
        <xdr:cNvPr id="37" name="テキスト ボックス 36">
          <a:extLst>
            <a:ext uri="{FF2B5EF4-FFF2-40B4-BE49-F238E27FC236}">
              <a16:creationId xmlns:a16="http://schemas.microsoft.com/office/drawing/2014/main" id="{8C55FD85-78F8-46D3-AAD6-81A0695434FD}"/>
            </a:ext>
          </a:extLst>
        </xdr:cNvPr>
        <xdr:cNvSpPr txBox="1"/>
      </xdr:nvSpPr>
      <xdr:spPr>
        <a:xfrm>
          <a:off x="38401731" y="114864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35DD4485-7EB9-4845-A5C0-245DBAE9CF66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1.600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169</xdr:col>
      <xdr:colOff>193764</xdr:colOff>
      <xdr:row>5</xdr:row>
      <xdr:rowOff>178599</xdr:rowOff>
    </xdr:from>
    <xdr:to>
      <xdr:col>170</xdr:col>
      <xdr:colOff>184387</xdr:colOff>
      <xdr:row>5</xdr:row>
      <xdr:rowOff>178599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D6253BBE-3D54-4789-BDF8-00DBD075B44F}"/>
            </a:ext>
          </a:extLst>
        </xdr:cNvPr>
        <xdr:cNvCxnSpPr/>
      </xdr:nvCxnSpPr>
      <xdr:spPr>
        <a:xfrm>
          <a:off x="38827164" y="1321599"/>
          <a:ext cx="2192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170</xdr:col>
      <xdr:colOff>185756</xdr:colOff>
      <xdr:row>5</xdr:row>
      <xdr:rowOff>139291</xdr:rowOff>
    </xdr:from>
    <xdr:to>
      <xdr:col>170</xdr:col>
      <xdr:colOff>185756</xdr:colOff>
      <xdr:row>5</xdr:row>
      <xdr:rowOff>197957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56D053B1-2B4D-40B7-8267-0588F57B9A8E}"/>
            </a:ext>
          </a:extLst>
        </xdr:cNvPr>
        <xdr:cNvCxnSpPr/>
      </xdr:nvCxnSpPr>
      <xdr:spPr>
        <a:xfrm>
          <a:off x="39047756" y="128229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169</xdr:col>
      <xdr:colOff>128877</xdr:colOff>
      <xdr:row>5</xdr:row>
      <xdr:rowOff>130557</xdr:rowOff>
    </xdr:from>
    <xdr:ext cx="444352" cy="224998"/>
    <xdr:sp macro="" textlink="$FB$8">
      <xdr:nvSpPr>
        <xdr:cNvPr id="50" name="テキスト ボックス 49">
          <a:extLst>
            <a:ext uri="{FF2B5EF4-FFF2-40B4-BE49-F238E27FC236}">
              <a16:creationId xmlns:a16="http://schemas.microsoft.com/office/drawing/2014/main" id="{EC01A5A1-4E93-4DDD-ABAC-21D5B5262E01}"/>
            </a:ext>
          </a:extLst>
        </xdr:cNvPr>
        <xdr:cNvSpPr txBox="1"/>
      </xdr:nvSpPr>
      <xdr:spPr>
        <a:xfrm>
          <a:off x="38762277" y="127355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4AFC34B-F6E2-4292-BB18-84424D3A27D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168</xdr:col>
      <xdr:colOff>105842</xdr:colOff>
      <xdr:row>10</xdr:row>
      <xdr:rowOff>102401</xdr:rowOff>
    </xdr:from>
    <xdr:to>
      <xdr:col>169</xdr:col>
      <xdr:colOff>117566</xdr:colOff>
      <xdr:row>10</xdr:row>
      <xdr:rowOff>102401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5BAE6D18-E089-4E61-9681-F0D20E2BF136}"/>
            </a:ext>
          </a:extLst>
        </xdr:cNvPr>
        <xdr:cNvCxnSpPr/>
      </xdr:nvCxnSpPr>
      <xdr:spPr>
        <a:xfrm>
          <a:off x="38510642" y="2388401"/>
          <a:ext cx="240324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169</xdr:col>
      <xdr:colOff>121280</xdr:colOff>
      <xdr:row>10</xdr:row>
      <xdr:rowOff>72471</xdr:rowOff>
    </xdr:from>
    <xdr:to>
      <xdr:col>169</xdr:col>
      <xdr:colOff>121280</xdr:colOff>
      <xdr:row>10</xdr:row>
      <xdr:rowOff>132548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2CB9F84D-F713-4FB3-80D7-EDC69650C88B}"/>
            </a:ext>
          </a:extLst>
        </xdr:cNvPr>
        <xdr:cNvCxnSpPr/>
      </xdr:nvCxnSpPr>
      <xdr:spPr>
        <a:xfrm>
          <a:off x="38754680" y="2358471"/>
          <a:ext cx="0" cy="60077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168</xdr:col>
      <xdr:colOff>36118</xdr:colOff>
      <xdr:row>10</xdr:row>
      <xdr:rowOff>53878</xdr:rowOff>
    </xdr:from>
    <xdr:ext cx="444352" cy="224998"/>
    <xdr:sp macro="" textlink="$EY$11">
      <xdr:nvSpPr>
        <xdr:cNvPr id="56" name="テキスト ボックス 55">
          <a:extLst>
            <a:ext uri="{FF2B5EF4-FFF2-40B4-BE49-F238E27FC236}">
              <a16:creationId xmlns:a16="http://schemas.microsoft.com/office/drawing/2014/main" id="{7C5305E9-69A7-470B-AAD2-F75A6B67EBDB}"/>
            </a:ext>
          </a:extLst>
        </xdr:cNvPr>
        <xdr:cNvSpPr txBox="1"/>
      </xdr:nvSpPr>
      <xdr:spPr>
        <a:xfrm>
          <a:off x="38440918" y="233987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83982FC-F709-464C-AD06-063A242A123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168</xdr:col>
      <xdr:colOff>210178</xdr:colOff>
      <xdr:row>8</xdr:row>
      <xdr:rowOff>215276</xdr:rowOff>
    </xdr:from>
    <xdr:to>
      <xdr:col>169</xdr:col>
      <xdr:colOff>221901</xdr:colOff>
      <xdr:row>8</xdr:row>
      <xdr:rowOff>215276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9F6AB53-9A54-4D2B-9357-8B082F7B84DD}"/>
            </a:ext>
          </a:extLst>
        </xdr:cNvPr>
        <xdr:cNvCxnSpPr/>
      </xdr:nvCxnSpPr>
      <xdr:spPr>
        <a:xfrm>
          <a:off x="38614978" y="2044076"/>
          <a:ext cx="2403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169</xdr:col>
      <xdr:colOff>223270</xdr:colOff>
      <xdr:row>8</xdr:row>
      <xdr:rowOff>175968</xdr:rowOff>
    </xdr:from>
    <xdr:to>
      <xdr:col>170</xdr:col>
      <xdr:colOff>1020</xdr:colOff>
      <xdr:row>9</xdr:row>
      <xdr:rowOff>6034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449A7F0B-5B2D-41AC-94A6-B8D2120DFC4D}"/>
            </a:ext>
          </a:extLst>
        </xdr:cNvPr>
        <xdr:cNvCxnSpPr/>
      </xdr:nvCxnSpPr>
      <xdr:spPr>
        <a:xfrm>
          <a:off x="38856670" y="2004768"/>
          <a:ext cx="635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168</xdr:col>
      <xdr:colOff>139281</xdr:colOff>
      <xdr:row>8</xdr:row>
      <xdr:rowOff>169096</xdr:rowOff>
    </xdr:from>
    <xdr:ext cx="444352" cy="224998"/>
    <xdr:sp macro="" textlink="$EY$10">
      <xdr:nvSpPr>
        <xdr:cNvPr id="59" name="テキスト ボックス 58">
          <a:extLst>
            <a:ext uri="{FF2B5EF4-FFF2-40B4-BE49-F238E27FC236}">
              <a16:creationId xmlns:a16="http://schemas.microsoft.com/office/drawing/2014/main" id="{D9BB3BD4-7C95-4359-AAEA-DDD0EF813A77}"/>
            </a:ext>
          </a:extLst>
        </xdr:cNvPr>
        <xdr:cNvSpPr txBox="1"/>
      </xdr:nvSpPr>
      <xdr:spPr>
        <a:xfrm>
          <a:off x="38544081" y="199789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CA96FB6-14A9-4E0D-8F86-6D8164C9403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169</xdr:col>
      <xdr:colOff>209673</xdr:colOff>
      <xdr:row>8</xdr:row>
      <xdr:rowOff>132905</xdr:rowOff>
    </xdr:from>
    <xdr:ext cx="37664" cy="42986"/>
    <xdr:sp macro="" textlink="">
      <xdr:nvSpPr>
        <xdr:cNvPr id="60" name="楕円 59">
          <a:extLst>
            <a:ext uri="{FF2B5EF4-FFF2-40B4-BE49-F238E27FC236}">
              <a16:creationId xmlns:a16="http://schemas.microsoft.com/office/drawing/2014/main" id="{0CC58C82-5F2B-4FAA-A91A-7EF2CD4C29E9}"/>
            </a:ext>
          </a:extLst>
        </xdr:cNvPr>
        <xdr:cNvSpPr/>
      </xdr:nvSpPr>
      <xdr:spPr>
        <a:xfrm>
          <a:off x="38843073" y="1961705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168</xdr:col>
      <xdr:colOff>5023</xdr:colOff>
      <xdr:row>11</xdr:row>
      <xdr:rowOff>223147</xdr:rowOff>
    </xdr:from>
    <xdr:to>
      <xdr:col>169</xdr:col>
      <xdr:colOff>16747</xdr:colOff>
      <xdr:row>11</xdr:row>
      <xdr:rowOff>223147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9F584854-1890-4B99-8DF8-AC813209BE37}"/>
            </a:ext>
          </a:extLst>
        </xdr:cNvPr>
        <xdr:cNvCxnSpPr/>
      </xdr:nvCxnSpPr>
      <xdr:spPr>
        <a:xfrm>
          <a:off x="38409823" y="2737747"/>
          <a:ext cx="240324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169</xdr:col>
      <xdr:colOff>18116</xdr:colOff>
      <xdr:row>11</xdr:row>
      <xdr:rowOff>183839</xdr:rowOff>
    </xdr:from>
    <xdr:to>
      <xdr:col>169</xdr:col>
      <xdr:colOff>18116</xdr:colOff>
      <xdr:row>12</xdr:row>
      <xdr:rowOff>13905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BEFBEA3-8F7A-498F-887D-E0E0557669B5}"/>
            </a:ext>
          </a:extLst>
        </xdr:cNvPr>
        <xdr:cNvCxnSpPr/>
      </xdr:nvCxnSpPr>
      <xdr:spPr>
        <a:xfrm>
          <a:off x="38651516" y="2698439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170</xdr:col>
      <xdr:colOff>169815</xdr:colOff>
      <xdr:row>5</xdr:row>
      <xdr:rowOff>95057</xdr:rowOff>
    </xdr:from>
    <xdr:ext cx="37664" cy="42986"/>
    <xdr:sp macro="" textlink="">
      <xdr:nvSpPr>
        <xdr:cNvPr id="64" name="楕円 63">
          <a:extLst>
            <a:ext uri="{FF2B5EF4-FFF2-40B4-BE49-F238E27FC236}">
              <a16:creationId xmlns:a16="http://schemas.microsoft.com/office/drawing/2014/main" id="{2A9CB680-27CC-428E-9658-519A5009D6B8}"/>
            </a:ext>
          </a:extLst>
        </xdr:cNvPr>
        <xdr:cNvSpPr/>
      </xdr:nvSpPr>
      <xdr:spPr>
        <a:xfrm>
          <a:off x="39031815" y="123805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169</xdr:col>
      <xdr:colOff>2175</xdr:colOff>
      <xdr:row>11</xdr:row>
      <xdr:rowOff>140777</xdr:rowOff>
    </xdr:from>
    <xdr:ext cx="37664" cy="42986"/>
    <xdr:sp macro="" textlink="">
      <xdr:nvSpPr>
        <xdr:cNvPr id="65" name="楕円 64">
          <a:extLst>
            <a:ext uri="{FF2B5EF4-FFF2-40B4-BE49-F238E27FC236}">
              <a16:creationId xmlns:a16="http://schemas.microsoft.com/office/drawing/2014/main" id="{30E54C6A-1C22-41E8-BB8F-8EDE6B73A4B2}"/>
            </a:ext>
          </a:extLst>
        </xdr:cNvPr>
        <xdr:cNvSpPr/>
      </xdr:nvSpPr>
      <xdr:spPr>
        <a:xfrm>
          <a:off x="38635575" y="265537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twoCellAnchor editAs="oneCell">
    <xdr:from>
      <xdr:col>169</xdr:col>
      <xdr:colOff>94119</xdr:colOff>
      <xdr:row>7</xdr:row>
      <xdr:rowOff>82806</xdr:rowOff>
    </xdr:from>
    <xdr:to>
      <xdr:col>170</xdr:col>
      <xdr:colOff>105842</xdr:colOff>
      <xdr:row>7</xdr:row>
      <xdr:rowOff>82806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A7786EFE-9E0C-4337-9AAF-332363BE3504}"/>
            </a:ext>
          </a:extLst>
        </xdr:cNvPr>
        <xdr:cNvCxnSpPr/>
      </xdr:nvCxnSpPr>
      <xdr:spPr>
        <a:xfrm>
          <a:off x="38727519" y="1683006"/>
          <a:ext cx="2403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170</xdr:col>
      <xdr:colOff>107211</xdr:colOff>
      <xdr:row>7</xdr:row>
      <xdr:rowOff>43498</xdr:rowOff>
    </xdr:from>
    <xdr:to>
      <xdr:col>170</xdr:col>
      <xdr:colOff>107211</xdr:colOff>
      <xdr:row>7</xdr:row>
      <xdr:rowOff>102164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E7F5FBCC-FB7F-457D-84D5-4333A0EE38EF}"/>
            </a:ext>
          </a:extLst>
        </xdr:cNvPr>
        <xdr:cNvCxnSpPr/>
      </xdr:nvCxnSpPr>
      <xdr:spPr>
        <a:xfrm>
          <a:off x="38969211" y="164369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169</xdr:col>
      <xdr:colOff>33774</xdr:colOff>
      <xdr:row>7</xdr:row>
      <xdr:rowOff>34281</xdr:rowOff>
    </xdr:from>
    <xdr:ext cx="444352" cy="224998"/>
    <xdr:sp macro="" textlink="$EY$9">
      <xdr:nvSpPr>
        <xdr:cNvPr id="68" name="テキスト ボックス 67">
          <a:extLst>
            <a:ext uri="{FF2B5EF4-FFF2-40B4-BE49-F238E27FC236}">
              <a16:creationId xmlns:a16="http://schemas.microsoft.com/office/drawing/2014/main" id="{EBC8C4B5-7E6F-4AAE-A305-1F84A9D11171}"/>
            </a:ext>
          </a:extLst>
        </xdr:cNvPr>
        <xdr:cNvSpPr txBox="1"/>
      </xdr:nvSpPr>
      <xdr:spPr>
        <a:xfrm>
          <a:off x="38667174" y="16344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4F2E04D-1170-4860-89F6-9984EBBFC74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170</xdr:col>
      <xdr:colOff>91270</xdr:colOff>
      <xdr:row>6</xdr:row>
      <xdr:rowOff>219658</xdr:rowOff>
    </xdr:from>
    <xdr:ext cx="37664" cy="42986"/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31074670-EA10-4923-AFEC-E4D7A4706A51}"/>
            </a:ext>
          </a:extLst>
        </xdr:cNvPr>
        <xdr:cNvSpPr/>
      </xdr:nvSpPr>
      <xdr:spPr>
        <a:xfrm>
          <a:off x="38953270" y="159125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167</xdr:col>
      <xdr:colOff>184582</xdr:colOff>
      <xdr:row>11</xdr:row>
      <xdr:rowOff>177720</xdr:rowOff>
    </xdr:from>
    <xdr:ext cx="444352" cy="224998"/>
    <xdr:sp macro="" textlink="$EY$12">
      <xdr:nvSpPr>
        <xdr:cNvPr id="75" name="テキスト ボックス 74">
          <a:extLst>
            <a:ext uri="{FF2B5EF4-FFF2-40B4-BE49-F238E27FC236}">
              <a16:creationId xmlns:a16="http://schemas.microsoft.com/office/drawing/2014/main" id="{7F790E38-CE85-42B5-BE1B-67BA3BE7323E}"/>
            </a:ext>
          </a:extLst>
        </xdr:cNvPr>
        <xdr:cNvSpPr txBox="1"/>
      </xdr:nvSpPr>
      <xdr:spPr>
        <a:xfrm>
          <a:off x="38360782" y="269232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CBCEBA0-9D8E-43D4-B29D-AB10934BC037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169</xdr:col>
      <xdr:colOff>191471</xdr:colOff>
      <xdr:row>5</xdr:row>
      <xdr:rowOff>152626</xdr:rowOff>
    </xdr:from>
    <xdr:to>
      <xdr:col>169</xdr:col>
      <xdr:colOff>191471</xdr:colOff>
      <xdr:row>5</xdr:row>
      <xdr:rowOff>211292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EC6B6BC8-6E05-09B3-1FC3-751778E1F983}"/>
            </a:ext>
          </a:extLst>
        </xdr:cNvPr>
        <xdr:cNvCxnSpPr/>
      </xdr:nvCxnSpPr>
      <xdr:spPr>
        <a:xfrm>
          <a:off x="38824871" y="1295626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205</xdr:col>
      <xdr:colOff>63739</xdr:colOff>
      <xdr:row>4</xdr:row>
      <xdr:rowOff>193827</xdr:rowOff>
    </xdr:from>
    <xdr:ext cx="415231" cy="0"/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35479062-9597-480A-9EE9-77D29316EC4B}"/>
            </a:ext>
          </a:extLst>
        </xdr:cNvPr>
        <xdr:cNvCxnSpPr/>
      </xdr:nvCxnSpPr>
      <xdr:spPr>
        <a:xfrm>
          <a:off x="46926739" y="1108227"/>
          <a:ext cx="41523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119811</xdr:colOff>
      <xdr:row>4</xdr:row>
      <xdr:rowOff>195086</xdr:rowOff>
    </xdr:from>
    <xdr:ext cx="589959" cy="2126470"/>
    <xdr:cxnSp macro="">
      <xdr:nvCxnSpPr>
        <xdr:cNvPr id="117" name="直線コネクタ 116">
          <a:extLst>
            <a:ext uri="{FF2B5EF4-FFF2-40B4-BE49-F238E27FC236}">
              <a16:creationId xmlns:a16="http://schemas.microsoft.com/office/drawing/2014/main" id="{E818F02B-F935-4B87-9616-F1F3AE38EBE7}"/>
            </a:ext>
          </a:extLst>
        </xdr:cNvPr>
        <xdr:cNvCxnSpPr/>
      </xdr:nvCxnSpPr>
      <xdr:spPr>
        <a:xfrm flipH="1">
          <a:off x="46754211" y="1109486"/>
          <a:ext cx="589959" cy="212647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172528</xdr:colOff>
      <xdr:row>4</xdr:row>
      <xdr:rowOff>195013</xdr:rowOff>
    </xdr:from>
    <xdr:ext cx="584408" cy="2106330"/>
    <xdr:cxnSp macro="">
      <xdr:nvCxnSpPr>
        <xdr:cNvPr id="118" name="直線コネクタ 117">
          <a:extLst>
            <a:ext uri="{FF2B5EF4-FFF2-40B4-BE49-F238E27FC236}">
              <a16:creationId xmlns:a16="http://schemas.microsoft.com/office/drawing/2014/main" id="{51234767-BFEE-4B44-846D-5BE0A66AD822}"/>
            </a:ext>
          </a:extLst>
        </xdr:cNvPr>
        <xdr:cNvCxnSpPr/>
      </xdr:nvCxnSpPr>
      <xdr:spPr>
        <a:xfrm flipH="1">
          <a:off x="46349728" y="1109413"/>
          <a:ext cx="584408" cy="210633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116393</xdr:colOff>
      <xdr:row>14</xdr:row>
      <xdr:rowOff>9647</xdr:rowOff>
    </xdr:from>
    <xdr:ext cx="487230" cy="92843"/>
    <xdr:sp macro="" textlink="">
      <xdr:nvSpPr>
        <xdr:cNvPr id="119" name="正方形/長方形 118">
          <a:extLst>
            <a:ext uri="{FF2B5EF4-FFF2-40B4-BE49-F238E27FC236}">
              <a16:creationId xmlns:a16="http://schemas.microsoft.com/office/drawing/2014/main" id="{09940F71-34DE-44F0-8001-5673DFDD5F02}"/>
            </a:ext>
          </a:extLst>
        </xdr:cNvPr>
        <xdr:cNvSpPr/>
      </xdr:nvSpPr>
      <xdr:spPr>
        <a:xfrm>
          <a:off x="46293593" y="3210047"/>
          <a:ext cx="487230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204</xdr:col>
      <xdr:colOff>23962</xdr:colOff>
      <xdr:row>5</xdr:row>
      <xdr:rowOff>88700</xdr:rowOff>
    </xdr:from>
    <xdr:ext cx="550510" cy="2011927"/>
    <xdr:cxnSp macro="">
      <xdr:nvCxnSpPr>
        <xdr:cNvPr id="120" name="直線コネクタ 119">
          <a:extLst>
            <a:ext uri="{FF2B5EF4-FFF2-40B4-BE49-F238E27FC236}">
              <a16:creationId xmlns:a16="http://schemas.microsoft.com/office/drawing/2014/main" id="{4D823A38-BACC-4DBF-A7B3-7F531E826A03}"/>
            </a:ext>
          </a:extLst>
        </xdr:cNvPr>
        <xdr:cNvCxnSpPr/>
      </xdr:nvCxnSpPr>
      <xdr:spPr>
        <a:xfrm flipH="1">
          <a:off x="46658362" y="1231700"/>
          <a:ext cx="550510" cy="201192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15113</xdr:colOff>
      <xdr:row>12</xdr:row>
      <xdr:rowOff>117356</xdr:rowOff>
    </xdr:from>
    <xdr:ext cx="315526" cy="0"/>
    <xdr:cxnSp macro="">
      <xdr:nvCxnSpPr>
        <xdr:cNvPr id="121" name="直線コネクタ 120">
          <a:extLst>
            <a:ext uri="{FF2B5EF4-FFF2-40B4-BE49-F238E27FC236}">
              <a16:creationId xmlns:a16="http://schemas.microsoft.com/office/drawing/2014/main" id="{0256EA3A-A5FF-46FF-A7E2-84AFC948EA0D}"/>
            </a:ext>
          </a:extLst>
        </xdr:cNvPr>
        <xdr:cNvCxnSpPr/>
      </xdr:nvCxnSpPr>
      <xdr:spPr>
        <a:xfrm>
          <a:off x="46420913" y="2860556"/>
          <a:ext cx="31552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115263</xdr:colOff>
      <xdr:row>10</xdr:row>
      <xdr:rowOff>225942</xdr:rowOff>
    </xdr:from>
    <xdr:ext cx="322421" cy="0"/>
    <xdr:cxnSp macro="">
      <xdr:nvCxnSpPr>
        <xdr:cNvPr id="122" name="直線コネクタ 121">
          <a:extLst>
            <a:ext uri="{FF2B5EF4-FFF2-40B4-BE49-F238E27FC236}">
              <a16:creationId xmlns:a16="http://schemas.microsoft.com/office/drawing/2014/main" id="{7B806683-5267-454B-A997-C636D87344AF}"/>
            </a:ext>
          </a:extLst>
        </xdr:cNvPr>
        <xdr:cNvCxnSpPr/>
      </xdr:nvCxnSpPr>
      <xdr:spPr>
        <a:xfrm>
          <a:off x="46521063" y="2511942"/>
          <a:ext cx="322421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217952</xdr:colOff>
      <xdr:row>9</xdr:row>
      <xdr:rowOff>103478</xdr:rowOff>
    </xdr:from>
    <xdr:ext cx="318249" cy="0"/>
    <xdr:cxnSp macro="">
      <xdr:nvCxnSpPr>
        <xdr:cNvPr id="123" name="直線コネクタ 122">
          <a:extLst>
            <a:ext uri="{FF2B5EF4-FFF2-40B4-BE49-F238E27FC236}">
              <a16:creationId xmlns:a16="http://schemas.microsoft.com/office/drawing/2014/main" id="{663A1CA8-0DCE-48FC-8B2C-ABAFE103CA81}"/>
            </a:ext>
          </a:extLst>
        </xdr:cNvPr>
        <xdr:cNvCxnSpPr/>
      </xdr:nvCxnSpPr>
      <xdr:spPr>
        <a:xfrm>
          <a:off x="46623752" y="2160878"/>
          <a:ext cx="31824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93855</xdr:colOff>
      <xdr:row>7</xdr:row>
      <xdr:rowOff>201175</xdr:rowOff>
    </xdr:from>
    <xdr:ext cx="312806" cy="0"/>
    <xdr:cxnSp macro="">
      <xdr:nvCxnSpPr>
        <xdr:cNvPr id="124" name="直線コネクタ 123">
          <a:extLst>
            <a:ext uri="{FF2B5EF4-FFF2-40B4-BE49-F238E27FC236}">
              <a16:creationId xmlns:a16="http://schemas.microsoft.com/office/drawing/2014/main" id="{835A64F9-089A-4FCB-82FD-F19341EFC6DE}"/>
            </a:ext>
          </a:extLst>
        </xdr:cNvPr>
        <xdr:cNvCxnSpPr/>
      </xdr:nvCxnSpPr>
      <xdr:spPr>
        <a:xfrm>
          <a:off x="46728255" y="1801375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197881</xdr:colOff>
      <xdr:row>6</xdr:row>
      <xdr:rowOff>59117</xdr:rowOff>
    </xdr:from>
    <xdr:ext cx="318248" cy="0"/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B4DB679B-537B-48D6-8EDD-27CC72BF9593}"/>
            </a:ext>
          </a:extLst>
        </xdr:cNvPr>
        <xdr:cNvCxnSpPr/>
      </xdr:nvCxnSpPr>
      <xdr:spPr>
        <a:xfrm>
          <a:off x="46832281" y="1430717"/>
          <a:ext cx="3182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19786</xdr:colOff>
      <xdr:row>5</xdr:row>
      <xdr:rowOff>83201</xdr:rowOff>
    </xdr:from>
    <xdr:ext cx="428965" cy="0"/>
    <xdr:cxnSp macro="">
      <xdr:nvCxnSpPr>
        <xdr:cNvPr id="126" name="直線コネクタ 125">
          <a:extLst>
            <a:ext uri="{FF2B5EF4-FFF2-40B4-BE49-F238E27FC236}">
              <a16:creationId xmlns:a16="http://schemas.microsoft.com/office/drawing/2014/main" id="{1E1C4BE4-6ACA-4CA3-8307-594BC1BE448B}"/>
            </a:ext>
          </a:extLst>
        </xdr:cNvPr>
        <xdr:cNvCxnSpPr/>
      </xdr:nvCxnSpPr>
      <xdr:spPr>
        <a:xfrm>
          <a:off x="46882786" y="1226201"/>
          <a:ext cx="42896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118279</xdr:colOff>
      <xdr:row>13</xdr:row>
      <xdr:rowOff>225601</xdr:rowOff>
    </xdr:from>
    <xdr:ext cx="37664" cy="42986"/>
    <xdr:sp macro="" textlink="">
      <xdr:nvSpPr>
        <xdr:cNvPr id="127" name="楕円 126">
          <a:extLst>
            <a:ext uri="{FF2B5EF4-FFF2-40B4-BE49-F238E27FC236}">
              <a16:creationId xmlns:a16="http://schemas.microsoft.com/office/drawing/2014/main" id="{AE01927D-0C4F-412F-95D7-D5F016AEACBF}"/>
            </a:ext>
          </a:extLst>
        </xdr:cNvPr>
        <xdr:cNvSpPr/>
      </xdr:nvSpPr>
      <xdr:spPr>
        <a:xfrm>
          <a:off x="46295479" y="3197401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203</xdr:col>
      <xdr:colOff>130307</xdr:colOff>
      <xdr:row>13</xdr:row>
      <xdr:rowOff>45809</xdr:rowOff>
    </xdr:from>
    <xdr:ext cx="37664" cy="42986"/>
    <xdr:sp macro="" textlink="">
      <xdr:nvSpPr>
        <xdr:cNvPr id="128" name="楕円 127">
          <a:extLst>
            <a:ext uri="{FF2B5EF4-FFF2-40B4-BE49-F238E27FC236}">
              <a16:creationId xmlns:a16="http://schemas.microsoft.com/office/drawing/2014/main" id="{2A2D5D97-4714-4D77-B22B-BA800E41D600}"/>
            </a:ext>
          </a:extLst>
        </xdr:cNvPr>
        <xdr:cNvSpPr/>
      </xdr:nvSpPr>
      <xdr:spPr>
        <a:xfrm>
          <a:off x="46536107" y="301760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201</xdr:col>
      <xdr:colOff>143959</xdr:colOff>
      <xdr:row>11</xdr:row>
      <xdr:rowOff>30429</xdr:rowOff>
    </xdr:from>
    <xdr:ext cx="444352" cy="224998"/>
    <xdr:sp macro="" textlink="$GB$12">
      <xdr:nvSpPr>
        <xdr:cNvPr id="129" name="テキスト ボックス 128">
          <a:extLst>
            <a:ext uri="{FF2B5EF4-FFF2-40B4-BE49-F238E27FC236}">
              <a16:creationId xmlns:a16="http://schemas.microsoft.com/office/drawing/2014/main" id="{760C55EF-B255-4878-8105-00D730845BCC}"/>
            </a:ext>
          </a:extLst>
        </xdr:cNvPr>
        <xdr:cNvSpPr txBox="1"/>
      </xdr:nvSpPr>
      <xdr:spPr>
        <a:xfrm>
          <a:off x="46092559" y="254502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F54DE6C-5B5F-4E2A-9609-88251A364A3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202</xdr:col>
      <xdr:colOff>129875</xdr:colOff>
      <xdr:row>11</xdr:row>
      <xdr:rowOff>227829</xdr:rowOff>
    </xdr:from>
    <xdr:ext cx="103158" cy="0"/>
    <xdr:cxnSp macro="">
      <xdr:nvCxnSpPr>
        <xdr:cNvPr id="130" name="直線コネクタ 129">
          <a:extLst>
            <a:ext uri="{FF2B5EF4-FFF2-40B4-BE49-F238E27FC236}">
              <a16:creationId xmlns:a16="http://schemas.microsoft.com/office/drawing/2014/main" id="{0A4DCF8A-9C00-49C5-8135-477EE31D09F0}"/>
            </a:ext>
          </a:extLst>
        </xdr:cNvPr>
        <xdr:cNvCxnSpPr/>
      </xdr:nvCxnSpPr>
      <xdr:spPr>
        <a:xfrm>
          <a:off x="46307075" y="2742429"/>
          <a:ext cx="103158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134953</xdr:colOff>
      <xdr:row>11</xdr:row>
      <xdr:rowOff>208230</xdr:rowOff>
    </xdr:from>
    <xdr:ext cx="0" cy="222582"/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C9E54C77-C48B-4B4F-9189-5D41068E05D8}"/>
            </a:ext>
          </a:extLst>
        </xdr:cNvPr>
        <xdr:cNvCxnSpPr/>
      </xdr:nvCxnSpPr>
      <xdr:spPr>
        <a:xfrm>
          <a:off x="46312153" y="2722830"/>
          <a:ext cx="0" cy="222582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227958</xdr:colOff>
      <xdr:row>11</xdr:row>
      <xdr:rowOff>219003</xdr:rowOff>
    </xdr:from>
    <xdr:ext cx="0" cy="58666"/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A745BECE-9AF4-47B7-A022-739DAD19E946}"/>
            </a:ext>
          </a:extLst>
        </xdr:cNvPr>
        <xdr:cNvCxnSpPr/>
      </xdr:nvCxnSpPr>
      <xdr:spPr>
        <a:xfrm>
          <a:off x="46405158" y="2733603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106510</xdr:colOff>
      <xdr:row>10</xdr:row>
      <xdr:rowOff>17098</xdr:rowOff>
    </xdr:from>
    <xdr:ext cx="37664" cy="42986"/>
    <xdr:sp macro="" textlink="">
      <xdr:nvSpPr>
        <xdr:cNvPr id="133" name="楕円 132">
          <a:extLst>
            <a:ext uri="{FF2B5EF4-FFF2-40B4-BE49-F238E27FC236}">
              <a16:creationId xmlns:a16="http://schemas.microsoft.com/office/drawing/2014/main" id="{382D5982-B9AB-4643-AED7-6FB802AA7257}"/>
            </a:ext>
          </a:extLst>
        </xdr:cNvPr>
        <xdr:cNvSpPr/>
      </xdr:nvSpPr>
      <xdr:spPr>
        <a:xfrm>
          <a:off x="46740910" y="230309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202</xdr:col>
      <xdr:colOff>134565</xdr:colOff>
      <xdr:row>10</xdr:row>
      <xdr:rowOff>102394</xdr:rowOff>
    </xdr:from>
    <xdr:ext cx="197909" cy="0"/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C7526668-054C-453F-B00F-29AF201D6BFD}"/>
            </a:ext>
          </a:extLst>
        </xdr:cNvPr>
        <xdr:cNvCxnSpPr/>
      </xdr:nvCxnSpPr>
      <xdr:spPr>
        <a:xfrm>
          <a:off x="46311765" y="2388394"/>
          <a:ext cx="197909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134953</xdr:colOff>
      <xdr:row>10</xdr:row>
      <xdr:rowOff>75760</xdr:rowOff>
    </xdr:from>
    <xdr:ext cx="0" cy="158789"/>
    <xdr:cxnSp macro="">
      <xdr:nvCxnSpPr>
        <xdr:cNvPr id="135" name="直線コネクタ 134">
          <a:extLst>
            <a:ext uri="{FF2B5EF4-FFF2-40B4-BE49-F238E27FC236}">
              <a16:creationId xmlns:a16="http://schemas.microsoft.com/office/drawing/2014/main" id="{DA7780F3-7380-4F0D-964D-C8185354532C}"/>
            </a:ext>
          </a:extLst>
        </xdr:cNvPr>
        <xdr:cNvCxnSpPr/>
      </xdr:nvCxnSpPr>
      <xdr:spPr>
        <a:xfrm>
          <a:off x="46312153" y="2361760"/>
          <a:ext cx="0" cy="15878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100177</xdr:colOff>
      <xdr:row>10</xdr:row>
      <xdr:rowOff>81843</xdr:rowOff>
    </xdr:from>
    <xdr:ext cx="0" cy="73822"/>
    <xdr:cxnSp macro="">
      <xdr:nvCxnSpPr>
        <xdr:cNvPr id="136" name="直線コネクタ 135">
          <a:extLst>
            <a:ext uri="{FF2B5EF4-FFF2-40B4-BE49-F238E27FC236}">
              <a16:creationId xmlns:a16="http://schemas.microsoft.com/office/drawing/2014/main" id="{66BF4326-435B-445D-9129-81BB2EDE823E}"/>
            </a:ext>
          </a:extLst>
        </xdr:cNvPr>
        <xdr:cNvCxnSpPr/>
      </xdr:nvCxnSpPr>
      <xdr:spPr>
        <a:xfrm>
          <a:off x="46505977" y="2367843"/>
          <a:ext cx="0" cy="73822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201</xdr:col>
      <xdr:colOff>227205</xdr:colOff>
      <xdr:row>9</xdr:row>
      <xdr:rowOff>137110</xdr:rowOff>
    </xdr:from>
    <xdr:ext cx="444352" cy="224998"/>
    <xdr:sp macro="" textlink="$GB$11">
      <xdr:nvSpPr>
        <xdr:cNvPr id="137" name="テキスト ボックス 136">
          <a:extLst>
            <a:ext uri="{FF2B5EF4-FFF2-40B4-BE49-F238E27FC236}">
              <a16:creationId xmlns:a16="http://schemas.microsoft.com/office/drawing/2014/main" id="{FE86D835-E51E-4DFB-9334-436070F6963A}"/>
            </a:ext>
          </a:extLst>
        </xdr:cNvPr>
        <xdr:cNvSpPr txBox="1"/>
      </xdr:nvSpPr>
      <xdr:spPr>
        <a:xfrm>
          <a:off x="46175805" y="219451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D79B27E-5D80-40EF-BCC5-AC8CB2777A4C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0.800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202</xdr:col>
      <xdr:colOff>134565</xdr:colOff>
      <xdr:row>8</xdr:row>
      <xdr:rowOff>212922</xdr:rowOff>
    </xdr:from>
    <xdr:ext cx="299900" cy="0"/>
    <xdr:cxnSp macro="">
      <xdr:nvCxnSpPr>
        <xdr:cNvPr id="138" name="直線コネクタ 137">
          <a:extLst>
            <a:ext uri="{FF2B5EF4-FFF2-40B4-BE49-F238E27FC236}">
              <a16:creationId xmlns:a16="http://schemas.microsoft.com/office/drawing/2014/main" id="{DB60B2D7-6C59-495D-9739-0DD1CA551532}"/>
            </a:ext>
          </a:extLst>
        </xdr:cNvPr>
        <xdr:cNvCxnSpPr/>
      </xdr:nvCxnSpPr>
      <xdr:spPr>
        <a:xfrm>
          <a:off x="46311765" y="2041722"/>
          <a:ext cx="299900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134953</xdr:colOff>
      <xdr:row>8</xdr:row>
      <xdr:rowOff>186288</xdr:rowOff>
    </xdr:from>
    <xdr:ext cx="0" cy="143633"/>
    <xdr:cxnSp macro="">
      <xdr:nvCxnSpPr>
        <xdr:cNvPr id="139" name="直線コネクタ 138">
          <a:extLst>
            <a:ext uri="{FF2B5EF4-FFF2-40B4-BE49-F238E27FC236}">
              <a16:creationId xmlns:a16="http://schemas.microsoft.com/office/drawing/2014/main" id="{1105AD12-B1CE-47ED-B5A2-6A9310ACC607}"/>
            </a:ext>
          </a:extLst>
        </xdr:cNvPr>
        <xdr:cNvCxnSpPr/>
      </xdr:nvCxnSpPr>
      <xdr:spPr>
        <a:xfrm>
          <a:off x="46312153" y="2015088"/>
          <a:ext cx="0" cy="143633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204513</xdr:colOff>
      <xdr:row>8</xdr:row>
      <xdr:rowOff>192371</xdr:rowOff>
    </xdr:from>
    <xdr:ext cx="0" cy="58666"/>
    <xdr:cxnSp macro="">
      <xdr:nvCxnSpPr>
        <xdr:cNvPr id="140" name="直線コネクタ 139">
          <a:extLst>
            <a:ext uri="{FF2B5EF4-FFF2-40B4-BE49-F238E27FC236}">
              <a16:creationId xmlns:a16="http://schemas.microsoft.com/office/drawing/2014/main" id="{7892AA66-997C-4944-85FA-CE6B38B00E7F}"/>
            </a:ext>
          </a:extLst>
        </xdr:cNvPr>
        <xdr:cNvCxnSpPr/>
      </xdr:nvCxnSpPr>
      <xdr:spPr>
        <a:xfrm>
          <a:off x="46610313" y="202117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75977</xdr:colOff>
      <xdr:row>8</xdr:row>
      <xdr:rowOff>27240</xdr:rowOff>
    </xdr:from>
    <xdr:ext cx="444352" cy="224998"/>
    <xdr:sp macro="" textlink="$GB$10">
      <xdr:nvSpPr>
        <xdr:cNvPr id="141" name="テキスト ボックス 140">
          <a:extLst>
            <a:ext uri="{FF2B5EF4-FFF2-40B4-BE49-F238E27FC236}">
              <a16:creationId xmlns:a16="http://schemas.microsoft.com/office/drawing/2014/main" id="{05A6F718-6EAD-41BF-8EA7-9F8CBFBFBB42}"/>
            </a:ext>
          </a:extLst>
        </xdr:cNvPr>
        <xdr:cNvSpPr txBox="1"/>
      </xdr:nvSpPr>
      <xdr:spPr>
        <a:xfrm>
          <a:off x="46253177" y="1856040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F1A0882-C163-4FD5-9542-437632891AD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1.200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202</xdr:col>
      <xdr:colOff>139255</xdr:colOff>
      <xdr:row>7</xdr:row>
      <xdr:rowOff>82806</xdr:rowOff>
    </xdr:from>
    <xdr:ext cx="410473" cy="0"/>
    <xdr:cxnSp macro="">
      <xdr:nvCxnSpPr>
        <xdr:cNvPr id="142" name="直線コネクタ 141">
          <a:extLst>
            <a:ext uri="{FF2B5EF4-FFF2-40B4-BE49-F238E27FC236}">
              <a16:creationId xmlns:a16="http://schemas.microsoft.com/office/drawing/2014/main" id="{95284AB7-7BFA-4BB0-8A4C-07BBE0C90E8A}"/>
            </a:ext>
          </a:extLst>
        </xdr:cNvPr>
        <xdr:cNvCxnSpPr/>
      </xdr:nvCxnSpPr>
      <xdr:spPr>
        <a:xfrm>
          <a:off x="46316455" y="1683006"/>
          <a:ext cx="41047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134953</xdr:colOff>
      <xdr:row>7</xdr:row>
      <xdr:rowOff>53818</xdr:rowOff>
    </xdr:from>
    <xdr:ext cx="0" cy="158790"/>
    <xdr:cxnSp macro="">
      <xdr:nvCxnSpPr>
        <xdr:cNvPr id="143" name="直線コネクタ 142">
          <a:extLst>
            <a:ext uri="{FF2B5EF4-FFF2-40B4-BE49-F238E27FC236}">
              <a16:creationId xmlns:a16="http://schemas.microsoft.com/office/drawing/2014/main" id="{0C52C7AF-A5D3-4717-BA0A-0DC9B9D6503E}"/>
            </a:ext>
          </a:extLst>
        </xdr:cNvPr>
        <xdr:cNvCxnSpPr/>
      </xdr:nvCxnSpPr>
      <xdr:spPr>
        <a:xfrm>
          <a:off x="46312153" y="1654018"/>
          <a:ext cx="0" cy="158790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83765</xdr:colOff>
      <xdr:row>7</xdr:row>
      <xdr:rowOff>59901</xdr:rowOff>
    </xdr:from>
    <xdr:ext cx="0" cy="58666"/>
    <xdr:cxnSp macro="">
      <xdr:nvCxnSpPr>
        <xdr:cNvPr id="144" name="直線コネクタ 143">
          <a:extLst>
            <a:ext uri="{FF2B5EF4-FFF2-40B4-BE49-F238E27FC236}">
              <a16:creationId xmlns:a16="http://schemas.microsoft.com/office/drawing/2014/main" id="{33C61A97-7AD1-4E0E-8C54-5CCE5F384407}"/>
            </a:ext>
          </a:extLst>
        </xdr:cNvPr>
        <xdr:cNvCxnSpPr/>
      </xdr:nvCxnSpPr>
      <xdr:spPr>
        <a:xfrm>
          <a:off x="46718165" y="166010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127560</xdr:colOff>
      <xdr:row>6</xdr:row>
      <xdr:rowOff>136274</xdr:rowOff>
    </xdr:from>
    <xdr:ext cx="444352" cy="224998"/>
    <xdr:sp macro="" textlink="$GB$9">
      <xdr:nvSpPr>
        <xdr:cNvPr id="145" name="テキスト ボックス 144">
          <a:extLst>
            <a:ext uri="{FF2B5EF4-FFF2-40B4-BE49-F238E27FC236}">
              <a16:creationId xmlns:a16="http://schemas.microsoft.com/office/drawing/2014/main" id="{CB809EBA-A938-4873-B2FF-4C377B7DCF3E}"/>
            </a:ext>
          </a:extLst>
        </xdr:cNvPr>
        <xdr:cNvSpPr txBox="1"/>
      </xdr:nvSpPr>
      <xdr:spPr>
        <a:xfrm>
          <a:off x="46304760" y="150787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00C469D4-E6CD-4427-BB3C-ED2F09A8F797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1.600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202</xdr:col>
      <xdr:colOff>134565</xdr:colOff>
      <xdr:row>5</xdr:row>
      <xdr:rowOff>176255</xdr:rowOff>
    </xdr:from>
    <xdr:ext cx="514808" cy="0"/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DE980131-2B92-455D-8348-4A66679CBF80}"/>
            </a:ext>
          </a:extLst>
        </xdr:cNvPr>
        <xdr:cNvCxnSpPr/>
      </xdr:nvCxnSpPr>
      <xdr:spPr>
        <a:xfrm>
          <a:off x="46311765" y="1319255"/>
          <a:ext cx="514808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134953</xdr:colOff>
      <xdr:row>5</xdr:row>
      <xdr:rowOff>149621</xdr:rowOff>
    </xdr:from>
    <xdr:ext cx="0" cy="143633"/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DB9B643C-5454-4785-BA28-AE6B618DF49A}"/>
            </a:ext>
          </a:extLst>
        </xdr:cNvPr>
        <xdr:cNvCxnSpPr/>
      </xdr:nvCxnSpPr>
      <xdr:spPr>
        <a:xfrm>
          <a:off x="46312153" y="1292621"/>
          <a:ext cx="0" cy="143633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175624</xdr:colOff>
      <xdr:row>5</xdr:row>
      <xdr:rowOff>14016</xdr:rowOff>
    </xdr:from>
    <xdr:ext cx="444352" cy="224998"/>
    <xdr:sp macro="" textlink="$GB$8">
      <xdr:nvSpPr>
        <xdr:cNvPr id="148" name="テキスト ボックス 147">
          <a:extLst>
            <a:ext uri="{FF2B5EF4-FFF2-40B4-BE49-F238E27FC236}">
              <a16:creationId xmlns:a16="http://schemas.microsoft.com/office/drawing/2014/main" id="{3B8E1677-1CEF-467B-AA35-65EA5E1BB55E}"/>
            </a:ext>
          </a:extLst>
        </xdr:cNvPr>
        <xdr:cNvSpPr txBox="1"/>
      </xdr:nvSpPr>
      <xdr:spPr>
        <a:xfrm>
          <a:off x="46352824" y="115701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A2F7F48-A161-4663-9B7B-109B0927440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2.000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204</xdr:col>
      <xdr:colOff>193764</xdr:colOff>
      <xdr:row>5</xdr:row>
      <xdr:rowOff>178599</xdr:rowOff>
    </xdr:from>
    <xdr:ext cx="221945" cy="0"/>
    <xdr:cxnSp macro="">
      <xdr:nvCxnSpPr>
        <xdr:cNvPr id="149" name="直線コネクタ 148">
          <a:extLst>
            <a:ext uri="{FF2B5EF4-FFF2-40B4-BE49-F238E27FC236}">
              <a16:creationId xmlns:a16="http://schemas.microsoft.com/office/drawing/2014/main" id="{59AEAD82-67E4-4445-90CB-F8C3E86D64F2}"/>
            </a:ext>
          </a:extLst>
        </xdr:cNvPr>
        <xdr:cNvCxnSpPr/>
      </xdr:nvCxnSpPr>
      <xdr:spPr>
        <a:xfrm>
          <a:off x="46828164" y="1321599"/>
          <a:ext cx="221945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185756</xdr:colOff>
      <xdr:row>5</xdr:row>
      <xdr:rowOff>139291</xdr:rowOff>
    </xdr:from>
    <xdr:ext cx="0" cy="58666"/>
    <xdr:cxnSp macro="">
      <xdr:nvCxnSpPr>
        <xdr:cNvPr id="150" name="直線コネクタ 149">
          <a:extLst>
            <a:ext uri="{FF2B5EF4-FFF2-40B4-BE49-F238E27FC236}">
              <a16:creationId xmlns:a16="http://schemas.microsoft.com/office/drawing/2014/main" id="{6CFE82BA-7FB3-490E-B0EC-9E268C71D650}"/>
            </a:ext>
          </a:extLst>
        </xdr:cNvPr>
        <xdr:cNvCxnSpPr/>
      </xdr:nvCxnSpPr>
      <xdr:spPr>
        <a:xfrm>
          <a:off x="47048756" y="128229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128877</xdr:colOff>
      <xdr:row>5</xdr:row>
      <xdr:rowOff>130557</xdr:rowOff>
    </xdr:from>
    <xdr:ext cx="444352" cy="224998"/>
    <xdr:sp macro="" textlink="$GK$8">
      <xdr:nvSpPr>
        <xdr:cNvPr id="151" name="テキスト ボックス 150">
          <a:extLst>
            <a:ext uri="{FF2B5EF4-FFF2-40B4-BE49-F238E27FC236}">
              <a16:creationId xmlns:a16="http://schemas.microsoft.com/office/drawing/2014/main" id="{E5E1949E-1412-40D7-AB6E-022EF8096171}"/>
            </a:ext>
          </a:extLst>
        </xdr:cNvPr>
        <xdr:cNvSpPr txBox="1"/>
      </xdr:nvSpPr>
      <xdr:spPr>
        <a:xfrm>
          <a:off x="46763277" y="127355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2BB1325-5D74-44B3-9E65-D03C2C3BB5B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203</xdr:col>
      <xdr:colOff>105842</xdr:colOff>
      <xdr:row>10</xdr:row>
      <xdr:rowOff>102401</xdr:rowOff>
    </xdr:from>
    <xdr:ext cx="243045" cy="0"/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404E1206-23CE-48A9-9506-26B93A43A449}"/>
            </a:ext>
          </a:extLst>
        </xdr:cNvPr>
        <xdr:cNvCxnSpPr/>
      </xdr:nvCxnSpPr>
      <xdr:spPr>
        <a:xfrm>
          <a:off x="46511642" y="2388401"/>
          <a:ext cx="243045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121280</xdr:colOff>
      <xdr:row>10</xdr:row>
      <xdr:rowOff>72471</xdr:rowOff>
    </xdr:from>
    <xdr:ext cx="0" cy="57494"/>
    <xdr:cxnSp macro="">
      <xdr:nvCxnSpPr>
        <xdr:cNvPr id="153" name="直線コネクタ 152">
          <a:extLst>
            <a:ext uri="{FF2B5EF4-FFF2-40B4-BE49-F238E27FC236}">
              <a16:creationId xmlns:a16="http://schemas.microsoft.com/office/drawing/2014/main" id="{24544AF3-6C35-437D-A73C-3F2B4A86BBE0}"/>
            </a:ext>
          </a:extLst>
        </xdr:cNvPr>
        <xdr:cNvCxnSpPr/>
      </xdr:nvCxnSpPr>
      <xdr:spPr>
        <a:xfrm>
          <a:off x="46755680" y="2358471"/>
          <a:ext cx="0" cy="57494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36118</xdr:colOff>
      <xdr:row>10</xdr:row>
      <xdr:rowOff>53878</xdr:rowOff>
    </xdr:from>
    <xdr:ext cx="444352" cy="224998"/>
    <xdr:sp macro="" textlink="$GH$11">
      <xdr:nvSpPr>
        <xdr:cNvPr id="154" name="テキスト ボックス 153">
          <a:extLst>
            <a:ext uri="{FF2B5EF4-FFF2-40B4-BE49-F238E27FC236}">
              <a16:creationId xmlns:a16="http://schemas.microsoft.com/office/drawing/2014/main" id="{DA147AE5-3E70-4590-91E7-C33123D334D6}"/>
            </a:ext>
          </a:extLst>
        </xdr:cNvPr>
        <xdr:cNvSpPr txBox="1"/>
      </xdr:nvSpPr>
      <xdr:spPr>
        <a:xfrm>
          <a:off x="46441918" y="233987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FB5A6DBA-3C6B-4835-AF0A-DCE11F9F2662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203</xdr:col>
      <xdr:colOff>210178</xdr:colOff>
      <xdr:row>8</xdr:row>
      <xdr:rowOff>215276</xdr:rowOff>
    </xdr:from>
    <xdr:ext cx="243044" cy="0"/>
    <xdr:cxnSp macro="">
      <xdr:nvCxnSpPr>
        <xdr:cNvPr id="155" name="直線コネクタ 154">
          <a:extLst>
            <a:ext uri="{FF2B5EF4-FFF2-40B4-BE49-F238E27FC236}">
              <a16:creationId xmlns:a16="http://schemas.microsoft.com/office/drawing/2014/main" id="{90FA8DD7-9F32-447E-AF29-A04108E3ACA1}"/>
            </a:ext>
          </a:extLst>
        </xdr:cNvPr>
        <xdr:cNvCxnSpPr/>
      </xdr:nvCxnSpPr>
      <xdr:spPr>
        <a:xfrm>
          <a:off x="46615978" y="2044076"/>
          <a:ext cx="243044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223270</xdr:colOff>
      <xdr:row>8</xdr:row>
      <xdr:rowOff>175968</xdr:rowOff>
    </xdr:from>
    <xdr:ext cx="0" cy="58666"/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A1190665-A9E8-44AA-8A15-176CFFDFCFE0}"/>
            </a:ext>
          </a:extLst>
        </xdr:cNvPr>
        <xdr:cNvCxnSpPr/>
      </xdr:nvCxnSpPr>
      <xdr:spPr>
        <a:xfrm>
          <a:off x="46857670" y="200476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139281</xdr:colOff>
      <xdr:row>8</xdr:row>
      <xdr:rowOff>169096</xdr:rowOff>
    </xdr:from>
    <xdr:ext cx="444352" cy="224998"/>
    <xdr:sp macro="" textlink="$GH$10">
      <xdr:nvSpPr>
        <xdr:cNvPr id="157" name="テキスト ボックス 156">
          <a:extLst>
            <a:ext uri="{FF2B5EF4-FFF2-40B4-BE49-F238E27FC236}">
              <a16:creationId xmlns:a16="http://schemas.microsoft.com/office/drawing/2014/main" id="{CD83C4F6-5B8C-4042-80BA-D1AACA1E51BD}"/>
            </a:ext>
          </a:extLst>
        </xdr:cNvPr>
        <xdr:cNvSpPr txBox="1"/>
      </xdr:nvSpPr>
      <xdr:spPr>
        <a:xfrm>
          <a:off x="46545081" y="199789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D5DC2A1-FB5C-4E6F-9BBE-8A5A70F17CC1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204</xdr:col>
      <xdr:colOff>209673</xdr:colOff>
      <xdr:row>8</xdr:row>
      <xdr:rowOff>132905</xdr:rowOff>
    </xdr:from>
    <xdr:ext cx="37664" cy="42986"/>
    <xdr:sp macro="" textlink="">
      <xdr:nvSpPr>
        <xdr:cNvPr id="158" name="楕円 157">
          <a:extLst>
            <a:ext uri="{FF2B5EF4-FFF2-40B4-BE49-F238E27FC236}">
              <a16:creationId xmlns:a16="http://schemas.microsoft.com/office/drawing/2014/main" id="{D224CD39-6088-406B-A40B-77C29E19454E}"/>
            </a:ext>
          </a:extLst>
        </xdr:cNvPr>
        <xdr:cNvSpPr/>
      </xdr:nvSpPr>
      <xdr:spPr>
        <a:xfrm>
          <a:off x="46844073" y="1961705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203</xdr:col>
      <xdr:colOff>5023</xdr:colOff>
      <xdr:row>11</xdr:row>
      <xdr:rowOff>223147</xdr:rowOff>
    </xdr:from>
    <xdr:ext cx="243045" cy="0"/>
    <xdr:cxnSp macro="">
      <xdr:nvCxnSpPr>
        <xdr:cNvPr id="159" name="直線コネクタ 158">
          <a:extLst>
            <a:ext uri="{FF2B5EF4-FFF2-40B4-BE49-F238E27FC236}">
              <a16:creationId xmlns:a16="http://schemas.microsoft.com/office/drawing/2014/main" id="{23B15CED-E8D5-4A11-9409-BD85EA16A1E0}"/>
            </a:ext>
          </a:extLst>
        </xdr:cNvPr>
        <xdr:cNvCxnSpPr/>
      </xdr:nvCxnSpPr>
      <xdr:spPr>
        <a:xfrm>
          <a:off x="46410823" y="2737747"/>
          <a:ext cx="243045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18116</xdr:colOff>
      <xdr:row>11</xdr:row>
      <xdr:rowOff>183839</xdr:rowOff>
    </xdr:from>
    <xdr:ext cx="0" cy="58666"/>
    <xdr:cxnSp macro="">
      <xdr:nvCxnSpPr>
        <xdr:cNvPr id="160" name="直線コネクタ 159">
          <a:extLst>
            <a:ext uri="{FF2B5EF4-FFF2-40B4-BE49-F238E27FC236}">
              <a16:creationId xmlns:a16="http://schemas.microsoft.com/office/drawing/2014/main" id="{BF08607B-4CB4-4299-8483-C6A8EB58C328}"/>
            </a:ext>
          </a:extLst>
        </xdr:cNvPr>
        <xdr:cNvCxnSpPr/>
      </xdr:nvCxnSpPr>
      <xdr:spPr>
        <a:xfrm>
          <a:off x="46652516" y="2698439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83889</xdr:colOff>
      <xdr:row>13</xdr:row>
      <xdr:rowOff>74578</xdr:rowOff>
    </xdr:from>
    <xdr:ext cx="444352" cy="224998"/>
    <xdr:sp macro="" textlink="$GH$13">
      <xdr:nvSpPr>
        <xdr:cNvPr id="161" name="テキスト ボックス 160">
          <a:extLst>
            <a:ext uri="{FF2B5EF4-FFF2-40B4-BE49-F238E27FC236}">
              <a16:creationId xmlns:a16="http://schemas.microsoft.com/office/drawing/2014/main" id="{F3D84DC8-8782-4B28-8EAD-FA7EFA2AC47C}"/>
            </a:ext>
          </a:extLst>
        </xdr:cNvPr>
        <xdr:cNvSpPr txBox="1"/>
      </xdr:nvSpPr>
      <xdr:spPr>
        <a:xfrm>
          <a:off x="46261089" y="304637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2D3F3C9-9865-4EB6-AF39-9E4A52D1B62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205</xdr:col>
      <xdr:colOff>169815</xdr:colOff>
      <xdr:row>5</xdr:row>
      <xdr:rowOff>95057</xdr:rowOff>
    </xdr:from>
    <xdr:ext cx="37664" cy="42986"/>
    <xdr:sp macro="" textlink="">
      <xdr:nvSpPr>
        <xdr:cNvPr id="162" name="楕円 161">
          <a:extLst>
            <a:ext uri="{FF2B5EF4-FFF2-40B4-BE49-F238E27FC236}">
              <a16:creationId xmlns:a16="http://schemas.microsoft.com/office/drawing/2014/main" id="{BB61426E-A290-45CE-8A94-50B1A042ADD2}"/>
            </a:ext>
          </a:extLst>
        </xdr:cNvPr>
        <xdr:cNvSpPr/>
      </xdr:nvSpPr>
      <xdr:spPr>
        <a:xfrm>
          <a:off x="47032815" y="123805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204</xdr:col>
      <xdr:colOff>2175</xdr:colOff>
      <xdr:row>11</xdr:row>
      <xdr:rowOff>140777</xdr:rowOff>
    </xdr:from>
    <xdr:ext cx="37664" cy="42986"/>
    <xdr:sp macro="" textlink="">
      <xdr:nvSpPr>
        <xdr:cNvPr id="163" name="楕円 162">
          <a:extLst>
            <a:ext uri="{FF2B5EF4-FFF2-40B4-BE49-F238E27FC236}">
              <a16:creationId xmlns:a16="http://schemas.microsoft.com/office/drawing/2014/main" id="{84CDFF2E-07DC-4FD2-9F20-3F40EC62CF42}"/>
            </a:ext>
          </a:extLst>
        </xdr:cNvPr>
        <xdr:cNvSpPr/>
      </xdr:nvSpPr>
      <xdr:spPr>
        <a:xfrm>
          <a:off x="46636575" y="265537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204</xdr:col>
      <xdr:colOff>94119</xdr:colOff>
      <xdr:row>7</xdr:row>
      <xdr:rowOff>82806</xdr:rowOff>
    </xdr:from>
    <xdr:ext cx="243045" cy="0"/>
    <xdr:cxnSp macro="">
      <xdr:nvCxnSpPr>
        <xdr:cNvPr id="164" name="直線コネクタ 163">
          <a:extLst>
            <a:ext uri="{FF2B5EF4-FFF2-40B4-BE49-F238E27FC236}">
              <a16:creationId xmlns:a16="http://schemas.microsoft.com/office/drawing/2014/main" id="{55F292CA-FB87-4A49-90C0-D89901D357CB}"/>
            </a:ext>
          </a:extLst>
        </xdr:cNvPr>
        <xdr:cNvCxnSpPr/>
      </xdr:nvCxnSpPr>
      <xdr:spPr>
        <a:xfrm>
          <a:off x="46728519" y="1683006"/>
          <a:ext cx="243045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205</xdr:col>
      <xdr:colOff>107211</xdr:colOff>
      <xdr:row>7</xdr:row>
      <xdr:rowOff>43498</xdr:rowOff>
    </xdr:from>
    <xdr:ext cx="0" cy="58666"/>
    <xdr:cxnSp macro="">
      <xdr:nvCxnSpPr>
        <xdr:cNvPr id="165" name="直線コネクタ 164">
          <a:extLst>
            <a:ext uri="{FF2B5EF4-FFF2-40B4-BE49-F238E27FC236}">
              <a16:creationId xmlns:a16="http://schemas.microsoft.com/office/drawing/2014/main" id="{1EA53023-1ED2-490C-98B8-102587C3510A}"/>
            </a:ext>
          </a:extLst>
        </xdr:cNvPr>
        <xdr:cNvCxnSpPr/>
      </xdr:nvCxnSpPr>
      <xdr:spPr>
        <a:xfrm>
          <a:off x="46970211" y="164369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204</xdr:col>
      <xdr:colOff>33774</xdr:colOff>
      <xdr:row>7</xdr:row>
      <xdr:rowOff>34281</xdr:rowOff>
    </xdr:from>
    <xdr:ext cx="444352" cy="224998"/>
    <xdr:sp macro="" textlink="$GH$9">
      <xdr:nvSpPr>
        <xdr:cNvPr id="166" name="テキスト ボックス 165">
          <a:extLst>
            <a:ext uri="{FF2B5EF4-FFF2-40B4-BE49-F238E27FC236}">
              <a16:creationId xmlns:a16="http://schemas.microsoft.com/office/drawing/2014/main" id="{E5B5CB9C-9079-4FCB-A6B4-DA42257A7536}"/>
            </a:ext>
          </a:extLst>
        </xdr:cNvPr>
        <xdr:cNvSpPr txBox="1"/>
      </xdr:nvSpPr>
      <xdr:spPr>
        <a:xfrm>
          <a:off x="46668174" y="16344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BE03449-699D-4AF5-BD91-747105E1A093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205</xdr:col>
      <xdr:colOff>91270</xdr:colOff>
      <xdr:row>6</xdr:row>
      <xdr:rowOff>219658</xdr:rowOff>
    </xdr:from>
    <xdr:ext cx="37664" cy="42986"/>
    <xdr:sp macro="" textlink="">
      <xdr:nvSpPr>
        <xdr:cNvPr id="167" name="楕円 166">
          <a:extLst>
            <a:ext uri="{FF2B5EF4-FFF2-40B4-BE49-F238E27FC236}">
              <a16:creationId xmlns:a16="http://schemas.microsoft.com/office/drawing/2014/main" id="{0D3B4D44-42A1-437A-B6ED-7029C1C70FE3}"/>
            </a:ext>
          </a:extLst>
        </xdr:cNvPr>
        <xdr:cNvSpPr/>
      </xdr:nvSpPr>
      <xdr:spPr>
        <a:xfrm>
          <a:off x="46954270" y="159125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202</xdr:col>
      <xdr:colOff>142740</xdr:colOff>
      <xdr:row>13</xdr:row>
      <xdr:rowOff>117271</xdr:rowOff>
    </xdr:from>
    <xdr:ext cx="227093" cy="1138"/>
    <xdr:cxnSp macro="">
      <xdr:nvCxnSpPr>
        <xdr:cNvPr id="168" name="直線コネクタ 167">
          <a:extLst>
            <a:ext uri="{FF2B5EF4-FFF2-40B4-BE49-F238E27FC236}">
              <a16:creationId xmlns:a16="http://schemas.microsoft.com/office/drawing/2014/main" id="{D73769B9-27A5-4182-A42A-5249D49CDA97}"/>
            </a:ext>
          </a:extLst>
        </xdr:cNvPr>
        <xdr:cNvCxnSpPr/>
      </xdr:nvCxnSpPr>
      <xdr:spPr>
        <a:xfrm>
          <a:off x="46319940" y="3089071"/>
          <a:ext cx="227093" cy="1138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203</xdr:col>
      <xdr:colOff>145486</xdr:colOff>
      <xdr:row>13</xdr:row>
      <xdr:rowOff>80779</xdr:rowOff>
    </xdr:from>
    <xdr:ext cx="0" cy="94409"/>
    <xdr:cxnSp macro="">
      <xdr:nvCxnSpPr>
        <xdr:cNvPr id="169" name="直線コネクタ 168">
          <a:extLst>
            <a:ext uri="{FF2B5EF4-FFF2-40B4-BE49-F238E27FC236}">
              <a16:creationId xmlns:a16="http://schemas.microsoft.com/office/drawing/2014/main" id="{03226A23-EA1A-4DBD-BEB7-87E1E47A5F30}"/>
            </a:ext>
          </a:extLst>
        </xdr:cNvPr>
        <xdr:cNvCxnSpPr/>
      </xdr:nvCxnSpPr>
      <xdr:spPr>
        <a:xfrm>
          <a:off x="46551286" y="3052579"/>
          <a:ext cx="0" cy="94409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138423</xdr:colOff>
      <xdr:row>13</xdr:row>
      <xdr:rowOff>106063</xdr:rowOff>
    </xdr:from>
    <xdr:ext cx="0" cy="74995"/>
    <xdr:cxnSp macro="">
      <xdr:nvCxnSpPr>
        <xdr:cNvPr id="170" name="直線コネクタ 169">
          <a:extLst>
            <a:ext uri="{FF2B5EF4-FFF2-40B4-BE49-F238E27FC236}">
              <a16:creationId xmlns:a16="http://schemas.microsoft.com/office/drawing/2014/main" id="{328A284A-7C93-46C6-85A8-5AF9D262BFC0}"/>
            </a:ext>
          </a:extLst>
        </xdr:cNvPr>
        <xdr:cNvCxnSpPr/>
      </xdr:nvCxnSpPr>
      <xdr:spPr>
        <a:xfrm>
          <a:off x="46315623" y="3077863"/>
          <a:ext cx="0" cy="7499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202</xdr:col>
      <xdr:colOff>179139</xdr:colOff>
      <xdr:row>11</xdr:row>
      <xdr:rowOff>172278</xdr:rowOff>
    </xdr:from>
    <xdr:ext cx="444352" cy="224998"/>
    <xdr:sp macro="" textlink="$GH$12">
      <xdr:nvSpPr>
        <xdr:cNvPr id="171" name="テキスト ボックス 170">
          <a:extLst>
            <a:ext uri="{FF2B5EF4-FFF2-40B4-BE49-F238E27FC236}">
              <a16:creationId xmlns:a16="http://schemas.microsoft.com/office/drawing/2014/main" id="{FA1FD905-0E3F-41B7-8709-DC8A15FFCA1A}"/>
            </a:ext>
          </a:extLst>
        </xdr:cNvPr>
        <xdr:cNvSpPr txBox="1"/>
      </xdr:nvSpPr>
      <xdr:spPr>
        <a:xfrm>
          <a:off x="46356339" y="268687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9039C66-C8A9-4D05-9DCD-396B5E7B6F6E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204</xdr:col>
      <xdr:colOff>191471</xdr:colOff>
      <xdr:row>5</xdr:row>
      <xdr:rowOff>152626</xdr:rowOff>
    </xdr:from>
    <xdr:ext cx="0" cy="58666"/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5A987814-A3B3-487B-8464-16D7B91A626F}"/>
            </a:ext>
          </a:extLst>
        </xdr:cNvPr>
        <xdr:cNvCxnSpPr/>
      </xdr:nvCxnSpPr>
      <xdr:spPr>
        <a:xfrm>
          <a:off x="46825871" y="1295626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63739</xdr:colOff>
      <xdr:row>4</xdr:row>
      <xdr:rowOff>193827</xdr:rowOff>
    </xdr:from>
    <xdr:ext cx="409788" cy="0"/>
    <xdr:cxnSp macro="">
      <xdr:nvCxnSpPr>
        <xdr:cNvPr id="173" name="直線コネクタ 172">
          <a:extLst>
            <a:ext uri="{FF2B5EF4-FFF2-40B4-BE49-F238E27FC236}">
              <a16:creationId xmlns:a16="http://schemas.microsoft.com/office/drawing/2014/main" id="{1339FC77-4291-4F81-9F42-1B97479EBF77}"/>
            </a:ext>
          </a:extLst>
        </xdr:cNvPr>
        <xdr:cNvCxnSpPr/>
      </xdr:nvCxnSpPr>
      <xdr:spPr>
        <a:xfrm>
          <a:off x="30924739" y="1108227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119811</xdr:colOff>
      <xdr:row>4</xdr:row>
      <xdr:rowOff>195086</xdr:rowOff>
    </xdr:from>
    <xdr:ext cx="581794" cy="2117999"/>
    <xdr:cxnSp macro="">
      <xdr:nvCxnSpPr>
        <xdr:cNvPr id="174" name="直線コネクタ 173">
          <a:extLst>
            <a:ext uri="{FF2B5EF4-FFF2-40B4-BE49-F238E27FC236}">
              <a16:creationId xmlns:a16="http://schemas.microsoft.com/office/drawing/2014/main" id="{B2A244C6-066C-43D0-89AD-96DB6323B7DF}"/>
            </a:ext>
          </a:extLst>
        </xdr:cNvPr>
        <xdr:cNvCxnSpPr/>
      </xdr:nvCxnSpPr>
      <xdr:spPr>
        <a:xfrm flipH="1">
          <a:off x="30752211" y="1109486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132</xdr:col>
      <xdr:colOff>167736</xdr:colOff>
      <xdr:row>4</xdr:row>
      <xdr:rowOff>195013</xdr:rowOff>
    </xdr:from>
    <xdr:ext cx="581036" cy="2115061"/>
    <xdr:cxnSp macro="">
      <xdr:nvCxnSpPr>
        <xdr:cNvPr id="175" name="直線コネクタ 174">
          <a:extLst>
            <a:ext uri="{FF2B5EF4-FFF2-40B4-BE49-F238E27FC236}">
              <a16:creationId xmlns:a16="http://schemas.microsoft.com/office/drawing/2014/main" id="{4D90493E-7B6E-4A88-AE61-FB256B660B50}"/>
            </a:ext>
          </a:extLst>
        </xdr:cNvPr>
        <xdr:cNvCxnSpPr/>
      </xdr:nvCxnSpPr>
      <xdr:spPr>
        <a:xfrm flipH="1">
          <a:off x="30342936" y="1109413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132</xdr:col>
      <xdr:colOff>125977</xdr:colOff>
      <xdr:row>14</xdr:row>
      <xdr:rowOff>9647</xdr:rowOff>
    </xdr:from>
    <xdr:ext cx="481788" cy="92843"/>
    <xdr:sp macro="" textlink="">
      <xdr:nvSpPr>
        <xdr:cNvPr id="176" name="正方形/長方形 175">
          <a:extLst>
            <a:ext uri="{FF2B5EF4-FFF2-40B4-BE49-F238E27FC236}">
              <a16:creationId xmlns:a16="http://schemas.microsoft.com/office/drawing/2014/main" id="{EDC5D0F5-5A31-4D66-B300-1C9962645AEA}"/>
            </a:ext>
          </a:extLst>
        </xdr:cNvPr>
        <xdr:cNvSpPr/>
      </xdr:nvSpPr>
      <xdr:spPr>
        <a:xfrm>
          <a:off x="30301177" y="321004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134</xdr:col>
      <xdr:colOff>28754</xdr:colOff>
      <xdr:row>5</xdr:row>
      <xdr:rowOff>88700</xdr:rowOff>
    </xdr:from>
    <xdr:ext cx="537554" cy="1985742"/>
    <xdr:cxnSp macro="">
      <xdr:nvCxnSpPr>
        <xdr:cNvPr id="177" name="直線コネクタ 176">
          <a:extLst>
            <a:ext uri="{FF2B5EF4-FFF2-40B4-BE49-F238E27FC236}">
              <a16:creationId xmlns:a16="http://schemas.microsoft.com/office/drawing/2014/main" id="{950989F5-AD53-4BAA-9EEC-2468F0412C7C}"/>
            </a:ext>
          </a:extLst>
        </xdr:cNvPr>
        <xdr:cNvCxnSpPr/>
      </xdr:nvCxnSpPr>
      <xdr:spPr>
        <a:xfrm flipH="1">
          <a:off x="30661154" y="1231700"/>
          <a:ext cx="537554" cy="1985742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34281</xdr:colOff>
      <xdr:row>12</xdr:row>
      <xdr:rowOff>117356</xdr:rowOff>
    </xdr:from>
    <xdr:ext cx="312805" cy="0"/>
    <xdr:cxnSp macro="">
      <xdr:nvCxnSpPr>
        <xdr:cNvPr id="178" name="直線コネクタ 177">
          <a:extLst>
            <a:ext uri="{FF2B5EF4-FFF2-40B4-BE49-F238E27FC236}">
              <a16:creationId xmlns:a16="http://schemas.microsoft.com/office/drawing/2014/main" id="{8E3EB808-8F22-41AD-BC12-55BA83EA8AE1}"/>
            </a:ext>
          </a:extLst>
        </xdr:cNvPr>
        <xdr:cNvCxnSpPr/>
      </xdr:nvCxnSpPr>
      <xdr:spPr>
        <a:xfrm>
          <a:off x="30438081" y="2860556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115263</xdr:colOff>
      <xdr:row>10</xdr:row>
      <xdr:rowOff>225942</xdr:rowOff>
    </xdr:from>
    <xdr:ext cx="319700" cy="0"/>
    <xdr:cxnSp macro="">
      <xdr:nvCxnSpPr>
        <xdr:cNvPr id="179" name="直線コネクタ 178">
          <a:extLst>
            <a:ext uri="{FF2B5EF4-FFF2-40B4-BE49-F238E27FC236}">
              <a16:creationId xmlns:a16="http://schemas.microsoft.com/office/drawing/2014/main" id="{37E16895-059C-4B8D-A38D-8EE87AFB9F06}"/>
            </a:ext>
          </a:extLst>
        </xdr:cNvPr>
        <xdr:cNvCxnSpPr/>
      </xdr:nvCxnSpPr>
      <xdr:spPr>
        <a:xfrm>
          <a:off x="30519063" y="2511942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217952</xdr:colOff>
      <xdr:row>9</xdr:row>
      <xdr:rowOff>103478</xdr:rowOff>
    </xdr:from>
    <xdr:ext cx="312806" cy="0"/>
    <xdr:cxnSp macro="">
      <xdr:nvCxnSpPr>
        <xdr:cNvPr id="180" name="直線コネクタ 179">
          <a:extLst>
            <a:ext uri="{FF2B5EF4-FFF2-40B4-BE49-F238E27FC236}">
              <a16:creationId xmlns:a16="http://schemas.microsoft.com/office/drawing/2014/main" id="{BD3B40DF-9E57-4FE0-95FD-BDE0081759CE}"/>
            </a:ext>
          </a:extLst>
        </xdr:cNvPr>
        <xdr:cNvCxnSpPr/>
      </xdr:nvCxnSpPr>
      <xdr:spPr>
        <a:xfrm>
          <a:off x="30621752" y="2160878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93855</xdr:colOff>
      <xdr:row>7</xdr:row>
      <xdr:rowOff>201175</xdr:rowOff>
    </xdr:from>
    <xdr:ext cx="310084" cy="0"/>
    <xdr:cxnSp macro="">
      <xdr:nvCxnSpPr>
        <xdr:cNvPr id="181" name="直線コネクタ 180">
          <a:extLst>
            <a:ext uri="{FF2B5EF4-FFF2-40B4-BE49-F238E27FC236}">
              <a16:creationId xmlns:a16="http://schemas.microsoft.com/office/drawing/2014/main" id="{99FEDAFF-A6FB-4F0C-B910-A1E554E1FE1F}"/>
            </a:ext>
          </a:extLst>
        </xdr:cNvPr>
        <xdr:cNvCxnSpPr/>
      </xdr:nvCxnSpPr>
      <xdr:spPr>
        <a:xfrm>
          <a:off x="30726255" y="1801375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197881</xdr:colOff>
      <xdr:row>6</xdr:row>
      <xdr:rowOff>59117</xdr:rowOff>
    </xdr:from>
    <xdr:ext cx="312805" cy="0"/>
    <xdr:cxnSp macro="">
      <xdr:nvCxnSpPr>
        <xdr:cNvPr id="182" name="直線コネクタ 181">
          <a:extLst>
            <a:ext uri="{FF2B5EF4-FFF2-40B4-BE49-F238E27FC236}">
              <a16:creationId xmlns:a16="http://schemas.microsoft.com/office/drawing/2014/main" id="{BAB0E142-61AE-4648-BD56-4253CFCCE16C}"/>
            </a:ext>
          </a:extLst>
        </xdr:cNvPr>
        <xdr:cNvCxnSpPr/>
      </xdr:nvCxnSpPr>
      <xdr:spPr>
        <a:xfrm>
          <a:off x="30830281" y="143071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19786</xdr:colOff>
      <xdr:row>5</xdr:row>
      <xdr:rowOff>83201</xdr:rowOff>
    </xdr:from>
    <xdr:ext cx="426244" cy="0"/>
    <xdr:cxnSp macro="">
      <xdr:nvCxnSpPr>
        <xdr:cNvPr id="183" name="直線コネクタ 182">
          <a:extLst>
            <a:ext uri="{FF2B5EF4-FFF2-40B4-BE49-F238E27FC236}">
              <a16:creationId xmlns:a16="http://schemas.microsoft.com/office/drawing/2014/main" id="{BCF3AEEB-9327-4377-A916-EA569EB56CE9}"/>
            </a:ext>
          </a:extLst>
        </xdr:cNvPr>
        <xdr:cNvCxnSpPr/>
      </xdr:nvCxnSpPr>
      <xdr:spPr>
        <a:xfrm>
          <a:off x="30880786" y="122620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94541</xdr:colOff>
      <xdr:row>10</xdr:row>
      <xdr:rowOff>175103</xdr:rowOff>
    </xdr:from>
    <xdr:ext cx="37664" cy="42986"/>
    <xdr:sp macro="" textlink="">
      <xdr:nvSpPr>
        <xdr:cNvPr id="184" name="楕円 183">
          <a:extLst>
            <a:ext uri="{FF2B5EF4-FFF2-40B4-BE49-F238E27FC236}">
              <a16:creationId xmlns:a16="http://schemas.microsoft.com/office/drawing/2014/main" id="{D6ED596B-29F6-4C76-83B6-6EC02095E7ED}"/>
            </a:ext>
          </a:extLst>
        </xdr:cNvPr>
        <xdr:cNvSpPr/>
      </xdr:nvSpPr>
      <xdr:spPr>
        <a:xfrm>
          <a:off x="30498341" y="2461103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133</xdr:col>
      <xdr:colOff>130307</xdr:colOff>
      <xdr:row>13</xdr:row>
      <xdr:rowOff>45809</xdr:rowOff>
    </xdr:from>
    <xdr:ext cx="37664" cy="42986"/>
    <xdr:sp macro="" textlink="">
      <xdr:nvSpPr>
        <xdr:cNvPr id="185" name="楕円 184">
          <a:extLst>
            <a:ext uri="{FF2B5EF4-FFF2-40B4-BE49-F238E27FC236}">
              <a16:creationId xmlns:a16="http://schemas.microsoft.com/office/drawing/2014/main" id="{E13B77A4-9B02-40B0-A7E5-4B28EB466419}"/>
            </a:ext>
          </a:extLst>
        </xdr:cNvPr>
        <xdr:cNvSpPr/>
      </xdr:nvSpPr>
      <xdr:spPr>
        <a:xfrm>
          <a:off x="30534107" y="301760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132</xdr:col>
      <xdr:colOff>146379</xdr:colOff>
      <xdr:row>8</xdr:row>
      <xdr:rowOff>28312</xdr:rowOff>
    </xdr:from>
    <xdr:ext cx="444352" cy="224998"/>
    <xdr:sp macro="" textlink="$DJ$10">
      <xdr:nvSpPr>
        <xdr:cNvPr id="186" name="テキスト ボックス 185">
          <a:extLst>
            <a:ext uri="{FF2B5EF4-FFF2-40B4-BE49-F238E27FC236}">
              <a16:creationId xmlns:a16="http://schemas.microsoft.com/office/drawing/2014/main" id="{E6717353-2CEF-4BCC-9D4D-83842E82982C}"/>
            </a:ext>
          </a:extLst>
        </xdr:cNvPr>
        <xdr:cNvSpPr txBox="1"/>
      </xdr:nvSpPr>
      <xdr:spPr>
        <a:xfrm>
          <a:off x="30321579" y="185711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AC566EA-E0BE-406E-89F2-AE0701C15D6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133</xdr:col>
      <xdr:colOff>110523</xdr:colOff>
      <xdr:row>8</xdr:row>
      <xdr:rowOff>220119</xdr:rowOff>
    </xdr:from>
    <xdr:ext cx="100437" cy="0"/>
    <xdr:cxnSp macro="">
      <xdr:nvCxnSpPr>
        <xdr:cNvPr id="187" name="直線コネクタ 186">
          <a:extLst>
            <a:ext uri="{FF2B5EF4-FFF2-40B4-BE49-F238E27FC236}">
              <a16:creationId xmlns:a16="http://schemas.microsoft.com/office/drawing/2014/main" id="{65EE7CC8-F448-438C-90FA-DA04591D2F4A}"/>
            </a:ext>
          </a:extLst>
        </xdr:cNvPr>
        <xdr:cNvCxnSpPr/>
      </xdr:nvCxnSpPr>
      <xdr:spPr>
        <a:xfrm>
          <a:off x="30514323" y="2048919"/>
          <a:ext cx="10043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99574</xdr:colOff>
      <xdr:row>8</xdr:row>
      <xdr:rowOff>189483</xdr:rowOff>
    </xdr:from>
    <xdr:ext cx="0" cy="218955"/>
    <xdr:cxnSp macro="">
      <xdr:nvCxnSpPr>
        <xdr:cNvPr id="188" name="直線コネクタ 187">
          <a:extLst>
            <a:ext uri="{FF2B5EF4-FFF2-40B4-BE49-F238E27FC236}">
              <a16:creationId xmlns:a16="http://schemas.microsoft.com/office/drawing/2014/main" id="{5DE9EB22-4609-4D72-9725-B1325563C78C}"/>
            </a:ext>
          </a:extLst>
        </xdr:cNvPr>
        <xdr:cNvCxnSpPr/>
      </xdr:nvCxnSpPr>
      <xdr:spPr>
        <a:xfrm>
          <a:off x="30503374" y="2018283"/>
          <a:ext cx="0" cy="21895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106510</xdr:colOff>
      <xdr:row>10</xdr:row>
      <xdr:rowOff>17098</xdr:rowOff>
    </xdr:from>
    <xdr:ext cx="37664" cy="42986"/>
    <xdr:sp macro="" textlink="">
      <xdr:nvSpPr>
        <xdr:cNvPr id="190" name="楕円 189">
          <a:extLst>
            <a:ext uri="{FF2B5EF4-FFF2-40B4-BE49-F238E27FC236}">
              <a16:creationId xmlns:a16="http://schemas.microsoft.com/office/drawing/2014/main" id="{375F310A-7AC1-4BE6-8CB4-518DD84DC3B1}"/>
            </a:ext>
          </a:extLst>
        </xdr:cNvPr>
        <xdr:cNvSpPr/>
      </xdr:nvSpPr>
      <xdr:spPr>
        <a:xfrm>
          <a:off x="30738910" y="230309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133</xdr:col>
      <xdr:colOff>109769</xdr:colOff>
      <xdr:row>7</xdr:row>
      <xdr:rowOff>94079</xdr:rowOff>
    </xdr:from>
    <xdr:ext cx="195188" cy="0"/>
    <xdr:cxnSp macro="">
      <xdr:nvCxnSpPr>
        <xdr:cNvPr id="191" name="直線コネクタ 190">
          <a:extLst>
            <a:ext uri="{FF2B5EF4-FFF2-40B4-BE49-F238E27FC236}">
              <a16:creationId xmlns:a16="http://schemas.microsoft.com/office/drawing/2014/main" id="{857A64B1-DD46-4D3B-A85D-22EF550EC7AB}"/>
            </a:ext>
          </a:extLst>
        </xdr:cNvPr>
        <xdr:cNvCxnSpPr/>
      </xdr:nvCxnSpPr>
      <xdr:spPr>
        <a:xfrm>
          <a:off x="30513569" y="1694279"/>
          <a:ext cx="195188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110157</xdr:colOff>
      <xdr:row>7</xdr:row>
      <xdr:rowOff>34788</xdr:rowOff>
    </xdr:from>
    <xdr:ext cx="0" cy="153346"/>
    <xdr:cxnSp macro="">
      <xdr:nvCxnSpPr>
        <xdr:cNvPr id="192" name="直線コネクタ 191">
          <a:extLst>
            <a:ext uri="{FF2B5EF4-FFF2-40B4-BE49-F238E27FC236}">
              <a16:creationId xmlns:a16="http://schemas.microsoft.com/office/drawing/2014/main" id="{1CE87D26-ADD8-4050-AED2-8346EE12B7E5}"/>
            </a:ext>
          </a:extLst>
        </xdr:cNvPr>
        <xdr:cNvCxnSpPr/>
      </xdr:nvCxnSpPr>
      <xdr:spPr>
        <a:xfrm>
          <a:off x="30513957" y="1634988"/>
          <a:ext cx="0" cy="15334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100177</xdr:colOff>
      <xdr:row>10</xdr:row>
      <xdr:rowOff>81843</xdr:rowOff>
    </xdr:from>
    <xdr:ext cx="0" cy="70194"/>
    <xdr:cxnSp macro="">
      <xdr:nvCxnSpPr>
        <xdr:cNvPr id="193" name="直線コネクタ 192">
          <a:extLst>
            <a:ext uri="{FF2B5EF4-FFF2-40B4-BE49-F238E27FC236}">
              <a16:creationId xmlns:a16="http://schemas.microsoft.com/office/drawing/2014/main" id="{87486FC6-1EC2-4F3C-8AD1-C5E68B8F5E8D}"/>
            </a:ext>
          </a:extLst>
        </xdr:cNvPr>
        <xdr:cNvCxnSpPr/>
      </xdr:nvCxnSpPr>
      <xdr:spPr>
        <a:xfrm>
          <a:off x="30503977" y="2367843"/>
          <a:ext cx="0" cy="70194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132</xdr:col>
      <xdr:colOff>218739</xdr:colOff>
      <xdr:row>6</xdr:row>
      <xdr:rowOff>95533</xdr:rowOff>
    </xdr:from>
    <xdr:ext cx="444352" cy="224998"/>
    <xdr:sp macro="" textlink="$DJ$9">
      <xdr:nvSpPr>
        <xdr:cNvPr id="194" name="テキスト ボックス 193">
          <a:extLst>
            <a:ext uri="{FF2B5EF4-FFF2-40B4-BE49-F238E27FC236}">
              <a16:creationId xmlns:a16="http://schemas.microsoft.com/office/drawing/2014/main" id="{FD1A5591-66E3-4B4D-96EB-0FD2D31F5018}"/>
            </a:ext>
          </a:extLst>
        </xdr:cNvPr>
        <xdr:cNvSpPr txBox="1"/>
      </xdr:nvSpPr>
      <xdr:spPr>
        <a:xfrm>
          <a:off x="30393939" y="146713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BFA1449-AF35-4781-A6F2-38FD04F92BC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0.800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133</xdr:col>
      <xdr:colOff>120655</xdr:colOff>
      <xdr:row>5</xdr:row>
      <xdr:rowOff>178753</xdr:rowOff>
    </xdr:from>
    <xdr:ext cx="297179" cy="0"/>
    <xdr:cxnSp macro="">
      <xdr:nvCxnSpPr>
        <xdr:cNvPr id="195" name="直線コネクタ 194">
          <a:extLst>
            <a:ext uri="{FF2B5EF4-FFF2-40B4-BE49-F238E27FC236}">
              <a16:creationId xmlns:a16="http://schemas.microsoft.com/office/drawing/2014/main" id="{2F8794CA-3228-4539-9B96-769E88A7198B}"/>
            </a:ext>
          </a:extLst>
        </xdr:cNvPr>
        <xdr:cNvCxnSpPr/>
      </xdr:nvCxnSpPr>
      <xdr:spPr>
        <a:xfrm>
          <a:off x="30524455" y="1321753"/>
          <a:ext cx="297179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110157</xdr:colOff>
      <xdr:row>5</xdr:row>
      <xdr:rowOff>135790</xdr:rowOff>
    </xdr:from>
    <xdr:ext cx="0" cy="145448"/>
    <xdr:cxnSp macro="">
      <xdr:nvCxnSpPr>
        <xdr:cNvPr id="196" name="直線コネクタ 195">
          <a:extLst>
            <a:ext uri="{FF2B5EF4-FFF2-40B4-BE49-F238E27FC236}">
              <a16:creationId xmlns:a16="http://schemas.microsoft.com/office/drawing/2014/main" id="{ECFB2808-3F62-4DBA-B40A-832C04AC7E38}"/>
            </a:ext>
          </a:extLst>
        </xdr:cNvPr>
        <xdr:cNvCxnSpPr/>
      </xdr:nvCxnSpPr>
      <xdr:spPr>
        <a:xfrm>
          <a:off x="30513957" y="1278790"/>
          <a:ext cx="0" cy="145448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204513</xdr:colOff>
      <xdr:row>8</xdr:row>
      <xdr:rowOff>192371</xdr:rowOff>
    </xdr:from>
    <xdr:ext cx="0" cy="58666"/>
    <xdr:cxnSp macro="">
      <xdr:nvCxnSpPr>
        <xdr:cNvPr id="197" name="直線コネクタ 196">
          <a:extLst>
            <a:ext uri="{FF2B5EF4-FFF2-40B4-BE49-F238E27FC236}">
              <a16:creationId xmlns:a16="http://schemas.microsoft.com/office/drawing/2014/main" id="{DAB76BCE-3F62-4782-99C6-598EFD6D6FDE}"/>
            </a:ext>
          </a:extLst>
        </xdr:cNvPr>
        <xdr:cNvCxnSpPr/>
      </xdr:nvCxnSpPr>
      <xdr:spPr>
        <a:xfrm>
          <a:off x="30608313" y="202117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52240</xdr:colOff>
      <xdr:row>5</xdr:row>
      <xdr:rowOff>8491</xdr:rowOff>
    </xdr:from>
    <xdr:ext cx="444352" cy="224998"/>
    <xdr:sp macro="" textlink="$DJ$8">
      <xdr:nvSpPr>
        <xdr:cNvPr id="198" name="テキスト ボックス 197">
          <a:extLst>
            <a:ext uri="{FF2B5EF4-FFF2-40B4-BE49-F238E27FC236}">
              <a16:creationId xmlns:a16="http://schemas.microsoft.com/office/drawing/2014/main" id="{2B0D3C71-F482-4A5B-B97A-7D2970B34693}"/>
            </a:ext>
          </a:extLst>
        </xdr:cNvPr>
        <xdr:cNvSpPr txBox="1"/>
      </xdr:nvSpPr>
      <xdr:spPr>
        <a:xfrm>
          <a:off x="30456040" y="115149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D5C50C2D-CB4E-4ADB-8C7D-A9EB480441F1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1.200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134</xdr:col>
      <xdr:colOff>83765</xdr:colOff>
      <xdr:row>7</xdr:row>
      <xdr:rowOff>59901</xdr:rowOff>
    </xdr:from>
    <xdr:ext cx="0" cy="58666"/>
    <xdr:cxnSp macro="">
      <xdr:nvCxnSpPr>
        <xdr:cNvPr id="201" name="直線コネクタ 200">
          <a:extLst>
            <a:ext uri="{FF2B5EF4-FFF2-40B4-BE49-F238E27FC236}">
              <a16:creationId xmlns:a16="http://schemas.microsoft.com/office/drawing/2014/main" id="{45A3452C-6FF9-4C1B-997F-1DC038174782}"/>
            </a:ext>
          </a:extLst>
        </xdr:cNvPr>
        <xdr:cNvCxnSpPr/>
      </xdr:nvCxnSpPr>
      <xdr:spPr>
        <a:xfrm>
          <a:off x="30716165" y="166010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193764</xdr:colOff>
      <xdr:row>5</xdr:row>
      <xdr:rowOff>178599</xdr:rowOff>
    </xdr:from>
    <xdr:ext cx="219223" cy="0"/>
    <xdr:cxnSp macro="">
      <xdr:nvCxnSpPr>
        <xdr:cNvPr id="203" name="直線コネクタ 202">
          <a:extLst>
            <a:ext uri="{FF2B5EF4-FFF2-40B4-BE49-F238E27FC236}">
              <a16:creationId xmlns:a16="http://schemas.microsoft.com/office/drawing/2014/main" id="{6E23B89F-F305-404D-A424-8D4939B7CE39}"/>
            </a:ext>
          </a:extLst>
        </xdr:cNvPr>
        <xdr:cNvCxnSpPr/>
      </xdr:nvCxnSpPr>
      <xdr:spPr>
        <a:xfrm>
          <a:off x="30826164" y="1321599"/>
          <a:ext cx="2192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185756</xdr:colOff>
      <xdr:row>5</xdr:row>
      <xdr:rowOff>139291</xdr:rowOff>
    </xdr:from>
    <xdr:ext cx="0" cy="58666"/>
    <xdr:cxnSp macro="">
      <xdr:nvCxnSpPr>
        <xdr:cNvPr id="204" name="直線コネクタ 203">
          <a:extLst>
            <a:ext uri="{FF2B5EF4-FFF2-40B4-BE49-F238E27FC236}">
              <a16:creationId xmlns:a16="http://schemas.microsoft.com/office/drawing/2014/main" id="{E06416BA-4C6A-420B-97CF-010E072B9C5F}"/>
            </a:ext>
          </a:extLst>
        </xdr:cNvPr>
        <xdr:cNvCxnSpPr/>
      </xdr:nvCxnSpPr>
      <xdr:spPr>
        <a:xfrm>
          <a:off x="31046756" y="128229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128877</xdr:colOff>
      <xdr:row>5</xdr:row>
      <xdr:rowOff>130557</xdr:rowOff>
    </xdr:from>
    <xdr:ext cx="444352" cy="224998"/>
    <xdr:sp macro="" textlink="$DS$8">
      <xdr:nvSpPr>
        <xdr:cNvPr id="205" name="テキスト ボックス 204">
          <a:extLst>
            <a:ext uri="{FF2B5EF4-FFF2-40B4-BE49-F238E27FC236}">
              <a16:creationId xmlns:a16="http://schemas.microsoft.com/office/drawing/2014/main" id="{DD65F286-8FDA-4B59-AE35-17ACFECDA62A}"/>
            </a:ext>
          </a:extLst>
        </xdr:cNvPr>
        <xdr:cNvSpPr txBox="1"/>
      </xdr:nvSpPr>
      <xdr:spPr>
        <a:xfrm>
          <a:off x="30761277" y="127355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8C8D595-C281-47B3-9822-68A5418A11A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133</xdr:col>
      <xdr:colOff>105842</xdr:colOff>
      <xdr:row>10</xdr:row>
      <xdr:rowOff>102401</xdr:rowOff>
    </xdr:from>
    <xdr:ext cx="240324" cy="0"/>
    <xdr:cxnSp macro="">
      <xdr:nvCxnSpPr>
        <xdr:cNvPr id="206" name="直線コネクタ 205">
          <a:extLst>
            <a:ext uri="{FF2B5EF4-FFF2-40B4-BE49-F238E27FC236}">
              <a16:creationId xmlns:a16="http://schemas.microsoft.com/office/drawing/2014/main" id="{1BC740D7-3A52-486F-8874-AFD50044DA37}"/>
            </a:ext>
          </a:extLst>
        </xdr:cNvPr>
        <xdr:cNvCxnSpPr/>
      </xdr:nvCxnSpPr>
      <xdr:spPr>
        <a:xfrm>
          <a:off x="30509642" y="2388401"/>
          <a:ext cx="240324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121280</xdr:colOff>
      <xdr:row>10</xdr:row>
      <xdr:rowOff>72471</xdr:rowOff>
    </xdr:from>
    <xdr:ext cx="0" cy="57494"/>
    <xdr:cxnSp macro="">
      <xdr:nvCxnSpPr>
        <xdr:cNvPr id="207" name="直線コネクタ 206">
          <a:extLst>
            <a:ext uri="{FF2B5EF4-FFF2-40B4-BE49-F238E27FC236}">
              <a16:creationId xmlns:a16="http://schemas.microsoft.com/office/drawing/2014/main" id="{38AF4FBE-3377-4121-A10F-907DD3CACF40}"/>
            </a:ext>
          </a:extLst>
        </xdr:cNvPr>
        <xdr:cNvCxnSpPr/>
      </xdr:nvCxnSpPr>
      <xdr:spPr>
        <a:xfrm>
          <a:off x="30753680" y="2358471"/>
          <a:ext cx="0" cy="57494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141951</xdr:colOff>
      <xdr:row>8</xdr:row>
      <xdr:rowOff>155479</xdr:rowOff>
    </xdr:from>
    <xdr:ext cx="444352" cy="224998"/>
    <xdr:sp macro="" textlink="$DP$10">
      <xdr:nvSpPr>
        <xdr:cNvPr id="208" name="テキスト ボックス 207">
          <a:extLst>
            <a:ext uri="{FF2B5EF4-FFF2-40B4-BE49-F238E27FC236}">
              <a16:creationId xmlns:a16="http://schemas.microsoft.com/office/drawing/2014/main" id="{1D0B72B6-FA40-4BEC-B0E7-222138C84530}"/>
            </a:ext>
          </a:extLst>
        </xdr:cNvPr>
        <xdr:cNvSpPr txBox="1"/>
      </xdr:nvSpPr>
      <xdr:spPr>
        <a:xfrm>
          <a:off x="30545751" y="198427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B117665-D718-463A-B80E-1CEC78F0DE07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133</xdr:col>
      <xdr:colOff>210178</xdr:colOff>
      <xdr:row>8</xdr:row>
      <xdr:rowOff>215276</xdr:rowOff>
    </xdr:from>
    <xdr:ext cx="240323" cy="0"/>
    <xdr:cxnSp macro="">
      <xdr:nvCxnSpPr>
        <xdr:cNvPr id="209" name="直線コネクタ 208">
          <a:extLst>
            <a:ext uri="{FF2B5EF4-FFF2-40B4-BE49-F238E27FC236}">
              <a16:creationId xmlns:a16="http://schemas.microsoft.com/office/drawing/2014/main" id="{4DDAAC4E-3854-427B-BCD3-83E0F12772BA}"/>
            </a:ext>
          </a:extLst>
        </xdr:cNvPr>
        <xdr:cNvCxnSpPr/>
      </xdr:nvCxnSpPr>
      <xdr:spPr>
        <a:xfrm>
          <a:off x="30613978" y="2044076"/>
          <a:ext cx="2403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223270</xdr:colOff>
      <xdr:row>8</xdr:row>
      <xdr:rowOff>175968</xdr:rowOff>
    </xdr:from>
    <xdr:ext cx="0" cy="58666"/>
    <xdr:cxnSp macro="">
      <xdr:nvCxnSpPr>
        <xdr:cNvPr id="210" name="直線コネクタ 209">
          <a:extLst>
            <a:ext uri="{FF2B5EF4-FFF2-40B4-BE49-F238E27FC236}">
              <a16:creationId xmlns:a16="http://schemas.microsoft.com/office/drawing/2014/main" id="{C5BC7503-6972-4A50-9A6B-00CC57C2E516}"/>
            </a:ext>
          </a:extLst>
        </xdr:cNvPr>
        <xdr:cNvCxnSpPr/>
      </xdr:nvCxnSpPr>
      <xdr:spPr>
        <a:xfrm>
          <a:off x="30855670" y="200476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133</xdr:col>
      <xdr:colOff>65197</xdr:colOff>
      <xdr:row>10</xdr:row>
      <xdr:rowOff>67494</xdr:rowOff>
    </xdr:from>
    <xdr:ext cx="444352" cy="224998"/>
    <xdr:sp macro="" textlink="$DP$11">
      <xdr:nvSpPr>
        <xdr:cNvPr id="211" name="テキスト ボックス 210">
          <a:extLst>
            <a:ext uri="{FF2B5EF4-FFF2-40B4-BE49-F238E27FC236}">
              <a16:creationId xmlns:a16="http://schemas.microsoft.com/office/drawing/2014/main" id="{7F94794E-E0E4-4CCE-8AA2-2589C1180968}"/>
            </a:ext>
          </a:extLst>
        </xdr:cNvPr>
        <xdr:cNvSpPr txBox="1"/>
      </xdr:nvSpPr>
      <xdr:spPr>
        <a:xfrm>
          <a:off x="30468997" y="2353494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32493D8-8BE5-4F3C-9AB8-8E69DD85812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134</xdr:col>
      <xdr:colOff>209673</xdr:colOff>
      <xdr:row>8</xdr:row>
      <xdr:rowOff>132905</xdr:rowOff>
    </xdr:from>
    <xdr:ext cx="37664" cy="42986"/>
    <xdr:sp macro="" textlink="">
      <xdr:nvSpPr>
        <xdr:cNvPr id="212" name="楕円 211">
          <a:extLst>
            <a:ext uri="{FF2B5EF4-FFF2-40B4-BE49-F238E27FC236}">
              <a16:creationId xmlns:a16="http://schemas.microsoft.com/office/drawing/2014/main" id="{293A834C-B7E5-43BC-BD5C-FA335BA3F2F1}"/>
            </a:ext>
          </a:extLst>
        </xdr:cNvPr>
        <xdr:cNvSpPr/>
      </xdr:nvSpPr>
      <xdr:spPr>
        <a:xfrm>
          <a:off x="30842073" y="1961705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135</xdr:col>
      <xdr:colOff>169815</xdr:colOff>
      <xdr:row>5</xdr:row>
      <xdr:rowOff>95057</xdr:rowOff>
    </xdr:from>
    <xdr:ext cx="37664" cy="42986"/>
    <xdr:sp macro="" textlink="">
      <xdr:nvSpPr>
        <xdr:cNvPr id="215" name="楕円 214">
          <a:extLst>
            <a:ext uri="{FF2B5EF4-FFF2-40B4-BE49-F238E27FC236}">
              <a16:creationId xmlns:a16="http://schemas.microsoft.com/office/drawing/2014/main" id="{AE27616A-B6CE-43A2-880B-1E88B0983BAE}"/>
            </a:ext>
          </a:extLst>
        </xdr:cNvPr>
        <xdr:cNvSpPr/>
      </xdr:nvSpPr>
      <xdr:spPr>
        <a:xfrm>
          <a:off x="31030815" y="123805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134</xdr:col>
      <xdr:colOff>2175</xdr:colOff>
      <xdr:row>11</xdr:row>
      <xdr:rowOff>140777</xdr:rowOff>
    </xdr:from>
    <xdr:ext cx="37664" cy="42986"/>
    <xdr:sp macro="" textlink="">
      <xdr:nvSpPr>
        <xdr:cNvPr id="216" name="楕円 215">
          <a:extLst>
            <a:ext uri="{FF2B5EF4-FFF2-40B4-BE49-F238E27FC236}">
              <a16:creationId xmlns:a16="http://schemas.microsoft.com/office/drawing/2014/main" id="{9D948C7C-5E21-42FB-854C-0409EFF04283}"/>
            </a:ext>
          </a:extLst>
        </xdr:cNvPr>
        <xdr:cNvSpPr/>
      </xdr:nvSpPr>
      <xdr:spPr>
        <a:xfrm>
          <a:off x="30634575" y="265537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134</xdr:col>
      <xdr:colOff>94119</xdr:colOff>
      <xdr:row>7</xdr:row>
      <xdr:rowOff>82806</xdr:rowOff>
    </xdr:from>
    <xdr:ext cx="240323" cy="0"/>
    <xdr:cxnSp macro="">
      <xdr:nvCxnSpPr>
        <xdr:cNvPr id="217" name="直線コネクタ 216">
          <a:extLst>
            <a:ext uri="{FF2B5EF4-FFF2-40B4-BE49-F238E27FC236}">
              <a16:creationId xmlns:a16="http://schemas.microsoft.com/office/drawing/2014/main" id="{06C36B33-A3AC-4742-827D-1C95E3877D38}"/>
            </a:ext>
          </a:extLst>
        </xdr:cNvPr>
        <xdr:cNvCxnSpPr/>
      </xdr:nvCxnSpPr>
      <xdr:spPr>
        <a:xfrm>
          <a:off x="30726519" y="1683006"/>
          <a:ext cx="2403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135</xdr:col>
      <xdr:colOff>107211</xdr:colOff>
      <xdr:row>7</xdr:row>
      <xdr:rowOff>43498</xdr:rowOff>
    </xdr:from>
    <xdr:ext cx="0" cy="58666"/>
    <xdr:cxnSp macro="">
      <xdr:nvCxnSpPr>
        <xdr:cNvPr id="218" name="直線コネクタ 217">
          <a:extLst>
            <a:ext uri="{FF2B5EF4-FFF2-40B4-BE49-F238E27FC236}">
              <a16:creationId xmlns:a16="http://schemas.microsoft.com/office/drawing/2014/main" id="{33CBB8DE-D24C-43A3-A5A4-752CF03C0AA8}"/>
            </a:ext>
          </a:extLst>
        </xdr:cNvPr>
        <xdr:cNvCxnSpPr/>
      </xdr:nvCxnSpPr>
      <xdr:spPr>
        <a:xfrm>
          <a:off x="30968211" y="164369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134</xdr:col>
      <xdr:colOff>33774</xdr:colOff>
      <xdr:row>7</xdr:row>
      <xdr:rowOff>34281</xdr:rowOff>
    </xdr:from>
    <xdr:ext cx="444352" cy="224998"/>
    <xdr:sp macro="" textlink="$DP$9">
      <xdr:nvSpPr>
        <xdr:cNvPr id="219" name="テキスト ボックス 218">
          <a:extLst>
            <a:ext uri="{FF2B5EF4-FFF2-40B4-BE49-F238E27FC236}">
              <a16:creationId xmlns:a16="http://schemas.microsoft.com/office/drawing/2014/main" id="{007D8D9A-4DC2-4F81-8EE6-169EBD25B307}"/>
            </a:ext>
          </a:extLst>
        </xdr:cNvPr>
        <xdr:cNvSpPr txBox="1"/>
      </xdr:nvSpPr>
      <xdr:spPr>
        <a:xfrm>
          <a:off x="30666174" y="16344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460BBAD-9A59-42C4-BC14-158EB14282E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135</xdr:col>
      <xdr:colOff>91270</xdr:colOff>
      <xdr:row>6</xdr:row>
      <xdr:rowOff>219658</xdr:rowOff>
    </xdr:from>
    <xdr:ext cx="37664" cy="42986"/>
    <xdr:sp macro="" textlink="">
      <xdr:nvSpPr>
        <xdr:cNvPr id="220" name="楕円 219">
          <a:extLst>
            <a:ext uri="{FF2B5EF4-FFF2-40B4-BE49-F238E27FC236}">
              <a16:creationId xmlns:a16="http://schemas.microsoft.com/office/drawing/2014/main" id="{53C9323F-153A-4EA0-89F4-CD2233827E45}"/>
            </a:ext>
          </a:extLst>
        </xdr:cNvPr>
        <xdr:cNvSpPr/>
      </xdr:nvSpPr>
      <xdr:spPr>
        <a:xfrm>
          <a:off x="30952270" y="159125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134</xdr:col>
      <xdr:colOff>191471</xdr:colOff>
      <xdr:row>5</xdr:row>
      <xdr:rowOff>152626</xdr:rowOff>
    </xdr:from>
    <xdr:ext cx="0" cy="58666"/>
    <xdr:cxnSp macro="">
      <xdr:nvCxnSpPr>
        <xdr:cNvPr id="222" name="直線コネクタ 221">
          <a:extLst>
            <a:ext uri="{FF2B5EF4-FFF2-40B4-BE49-F238E27FC236}">
              <a16:creationId xmlns:a16="http://schemas.microsoft.com/office/drawing/2014/main" id="{20635A82-9A0B-442C-9AF1-BBF818A5248B}"/>
            </a:ext>
          </a:extLst>
        </xdr:cNvPr>
        <xdr:cNvCxnSpPr/>
      </xdr:nvCxnSpPr>
      <xdr:spPr>
        <a:xfrm>
          <a:off x="30823871" y="1295626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100</xdr:col>
      <xdr:colOff>63739</xdr:colOff>
      <xdr:row>4</xdr:row>
      <xdr:rowOff>193827</xdr:rowOff>
    </xdr:from>
    <xdr:ext cx="409788" cy="0"/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2F17191D-142D-4B2E-8A2E-9E997A3D70EA}"/>
            </a:ext>
          </a:extLst>
        </xdr:cNvPr>
        <xdr:cNvCxnSpPr/>
      </xdr:nvCxnSpPr>
      <xdr:spPr>
        <a:xfrm>
          <a:off x="22923739" y="1108227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119811</xdr:colOff>
      <xdr:row>4</xdr:row>
      <xdr:rowOff>195086</xdr:rowOff>
    </xdr:from>
    <xdr:ext cx="581794" cy="2117999"/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1457F9B5-04A0-45E6-8C75-A476D0AC34F7}"/>
            </a:ext>
          </a:extLst>
        </xdr:cNvPr>
        <xdr:cNvCxnSpPr/>
      </xdr:nvCxnSpPr>
      <xdr:spPr>
        <a:xfrm flipH="1">
          <a:off x="22751211" y="1109486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97</xdr:col>
      <xdr:colOff>167736</xdr:colOff>
      <xdr:row>4</xdr:row>
      <xdr:rowOff>195013</xdr:rowOff>
    </xdr:from>
    <xdr:ext cx="581036" cy="2115061"/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9AFDC87F-E430-42CD-90A7-2DA4A844AE5D}"/>
            </a:ext>
          </a:extLst>
        </xdr:cNvPr>
        <xdr:cNvCxnSpPr/>
      </xdr:nvCxnSpPr>
      <xdr:spPr>
        <a:xfrm flipH="1">
          <a:off x="22341936" y="1109413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97</xdr:col>
      <xdr:colOff>121186</xdr:colOff>
      <xdr:row>14</xdr:row>
      <xdr:rowOff>9647</xdr:rowOff>
    </xdr:from>
    <xdr:ext cx="481788" cy="92843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72164EB3-9775-483C-9ED3-626D9266E260}"/>
            </a:ext>
          </a:extLst>
        </xdr:cNvPr>
        <xdr:cNvSpPr/>
      </xdr:nvSpPr>
      <xdr:spPr>
        <a:xfrm>
          <a:off x="22295386" y="321004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99</xdr:col>
      <xdr:colOff>28755</xdr:colOff>
      <xdr:row>5</xdr:row>
      <xdr:rowOff>88700</xdr:rowOff>
    </xdr:from>
    <xdr:ext cx="537553" cy="1985738"/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DE856B25-4432-478E-A9E6-1AEEE5D0A6AD}"/>
            </a:ext>
          </a:extLst>
        </xdr:cNvPr>
        <xdr:cNvCxnSpPr/>
      </xdr:nvCxnSpPr>
      <xdr:spPr>
        <a:xfrm flipH="1">
          <a:off x="22660155" y="1231700"/>
          <a:ext cx="537553" cy="198573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98</xdr:col>
      <xdr:colOff>39073</xdr:colOff>
      <xdr:row>12</xdr:row>
      <xdr:rowOff>117356</xdr:rowOff>
    </xdr:from>
    <xdr:ext cx="312805" cy="0"/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4167F5B6-1167-4ED7-B92D-DB87792C9EEA}"/>
            </a:ext>
          </a:extLst>
        </xdr:cNvPr>
        <xdr:cNvCxnSpPr/>
      </xdr:nvCxnSpPr>
      <xdr:spPr>
        <a:xfrm>
          <a:off x="22441873" y="2860556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98</xdr:col>
      <xdr:colOff>129639</xdr:colOff>
      <xdr:row>10</xdr:row>
      <xdr:rowOff>225942</xdr:rowOff>
    </xdr:from>
    <xdr:ext cx="319700" cy="0"/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195C464E-0DF9-42D9-BD60-5E8C5528E50E}"/>
            </a:ext>
          </a:extLst>
        </xdr:cNvPr>
        <xdr:cNvCxnSpPr/>
      </xdr:nvCxnSpPr>
      <xdr:spPr>
        <a:xfrm>
          <a:off x="22532439" y="2511942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98</xdr:col>
      <xdr:colOff>217952</xdr:colOff>
      <xdr:row>9</xdr:row>
      <xdr:rowOff>103478</xdr:rowOff>
    </xdr:from>
    <xdr:ext cx="312806" cy="0"/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3C4ADF4C-AE54-4399-8E2C-DC857076A31D}"/>
            </a:ext>
          </a:extLst>
        </xdr:cNvPr>
        <xdr:cNvCxnSpPr/>
      </xdr:nvCxnSpPr>
      <xdr:spPr>
        <a:xfrm>
          <a:off x="22620752" y="2160878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93855</xdr:colOff>
      <xdr:row>7</xdr:row>
      <xdr:rowOff>201175</xdr:rowOff>
    </xdr:from>
    <xdr:ext cx="310084" cy="0"/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A74A26D2-E768-4894-A22A-6CAD26A8A555}"/>
            </a:ext>
          </a:extLst>
        </xdr:cNvPr>
        <xdr:cNvCxnSpPr/>
      </xdr:nvCxnSpPr>
      <xdr:spPr>
        <a:xfrm>
          <a:off x="22725255" y="1801375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197881</xdr:colOff>
      <xdr:row>6</xdr:row>
      <xdr:rowOff>59117</xdr:rowOff>
    </xdr:from>
    <xdr:ext cx="312805" cy="0"/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5EEB83-EB66-4724-8BF7-4ED4F7DE6243}"/>
            </a:ext>
          </a:extLst>
        </xdr:cNvPr>
        <xdr:cNvCxnSpPr/>
      </xdr:nvCxnSpPr>
      <xdr:spPr>
        <a:xfrm>
          <a:off x="22829281" y="143071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100</xdr:col>
      <xdr:colOff>19786</xdr:colOff>
      <xdr:row>5</xdr:row>
      <xdr:rowOff>83201</xdr:rowOff>
    </xdr:from>
    <xdr:ext cx="426244" cy="0"/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A1722214-00DC-492D-883B-BAC1BAB5250F}"/>
            </a:ext>
          </a:extLst>
        </xdr:cNvPr>
        <xdr:cNvCxnSpPr/>
      </xdr:nvCxnSpPr>
      <xdr:spPr>
        <a:xfrm>
          <a:off x="22879786" y="122620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98</xdr:col>
      <xdr:colOff>202780</xdr:colOff>
      <xdr:row>9</xdr:row>
      <xdr:rowOff>85048</xdr:rowOff>
    </xdr:from>
    <xdr:ext cx="37664" cy="42986"/>
    <xdr:sp macro="" textlink="">
      <xdr:nvSpPr>
        <xdr:cNvPr id="43" name="楕円 42">
          <a:extLst>
            <a:ext uri="{FF2B5EF4-FFF2-40B4-BE49-F238E27FC236}">
              <a16:creationId xmlns:a16="http://schemas.microsoft.com/office/drawing/2014/main" id="{471B50CF-325C-460B-9AC7-D4FE8E9E7B01}"/>
            </a:ext>
          </a:extLst>
        </xdr:cNvPr>
        <xdr:cNvSpPr/>
      </xdr:nvSpPr>
      <xdr:spPr>
        <a:xfrm>
          <a:off x="22605580" y="214244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98</xdr:col>
      <xdr:colOff>130307</xdr:colOff>
      <xdr:row>13</xdr:row>
      <xdr:rowOff>45809</xdr:rowOff>
    </xdr:from>
    <xdr:ext cx="37664" cy="42986"/>
    <xdr:sp macro="" textlink="">
      <xdr:nvSpPr>
        <xdr:cNvPr id="44" name="楕円 43">
          <a:extLst>
            <a:ext uri="{FF2B5EF4-FFF2-40B4-BE49-F238E27FC236}">
              <a16:creationId xmlns:a16="http://schemas.microsoft.com/office/drawing/2014/main" id="{F4FA74B1-C0B0-48C9-8701-D39FD675A1B2}"/>
            </a:ext>
          </a:extLst>
        </xdr:cNvPr>
        <xdr:cNvSpPr/>
      </xdr:nvSpPr>
      <xdr:spPr>
        <a:xfrm>
          <a:off x="22533107" y="301760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97</xdr:col>
      <xdr:colOff>190341</xdr:colOff>
      <xdr:row>6</xdr:row>
      <xdr:rowOff>139682</xdr:rowOff>
    </xdr:from>
    <xdr:ext cx="444352" cy="224998"/>
    <xdr:sp macro="" textlink="$DJ$10">
      <xdr:nvSpPr>
        <xdr:cNvPr id="45" name="テキスト ボックス 44">
          <a:extLst>
            <a:ext uri="{FF2B5EF4-FFF2-40B4-BE49-F238E27FC236}">
              <a16:creationId xmlns:a16="http://schemas.microsoft.com/office/drawing/2014/main" id="{18695A79-D8DA-4D0C-8691-4DC4C6090318}"/>
            </a:ext>
          </a:extLst>
        </xdr:cNvPr>
        <xdr:cNvSpPr txBox="1"/>
      </xdr:nvSpPr>
      <xdr:spPr>
        <a:xfrm>
          <a:off x="22364541" y="1511282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AC566EA-E0BE-406E-89F2-AE0701C15D65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98</xdr:col>
      <xdr:colOff>213100</xdr:colOff>
      <xdr:row>7</xdr:row>
      <xdr:rowOff>94096</xdr:rowOff>
    </xdr:from>
    <xdr:ext cx="100437" cy="0"/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AEE15F3C-2DE3-4004-A23B-751B26E31ABF}"/>
            </a:ext>
          </a:extLst>
        </xdr:cNvPr>
        <xdr:cNvCxnSpPr/>
      </xdr:nvCxnSpPr>
      <xdr:spPr>
        <a:xfrm>
          <a:off x="22615900" y="1694296"/>
          <a:ext cx="10043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98</xdr:col>
      <xdr:colOff>202151</xdr:colOff>
      <xdr:row>7</xdr:row>
      <xdr:rowOff>63460</xdr:rowOff>
    </xdr:from>
    <xdr:ext cx="0" cy="218955"/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ACA4E275-334F-4429-9CCE-C135EB264FBA}"/>
            </a:ext>
          </a:extLst>
        </xdr:cNvPr>
        <xdr:cNvCxnSpPr/>
      </xdr:nvCxnSpPr>
      <xdr:spPr>
        <a:xfrm>
          <a:off x="22604951" y="1663660"/>
          <a:ext cx="0" cy="21895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106510</xdr:colOff>
      <xdr:row>10</xdr:row>
      <xdr:rowOff>17098</xdr:rowOff>
    </xdr:from>
    <xdr:ext cx="37664" cy="42986"/>
    <xdr:sp macro="" textlink="">
      <xdr:nvSpPr>
        <xdr:cNvPr id="51" name="楕円 50">
          <a:extLst>
            <a:ext uri="{FF2B5EF4-FFF2-40B4-BE49-F238E27FC236}">
              <a16:creationId xmlns:a16="http://schemas.microsoft.com/office/drawing/2014/main" id="{3DE386F8-0D30-448D-ADC0-B8686F4C98AD}"/>
            </a:ext>
          </a:extLst>
        </xdr:cNvPr>
        <xdr:cNvSpPr/>
      </xdr:nvSpPr>
      <xdr:spPr>
        <a:xfrm>
          <a:off x="22737910" y="230309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98</xdr:col>
      <xdr:colOff>224003</xdr:colOff>
      <xdr:row>5</xdr:row>
      <xdr:rowOff>177804</xdr:rowOff>
    </xdr:from>
    <xdr:ext cx="195188" cy="0"/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BA836C93-469B-46D8-AA57-F57FB8266886}"/>
            </a:ext>
          </a:extLst>
        </xdr:cNvPr>
        <xdr:cNvCxnSpPr/>
      </xdr:nvCxnSpPr>
      <xdr:spPr>
        <a:xfrm>
          <a:off x="22626803" y="1320804"/>
          <a:ext cx="195188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98</xdr:col>
      <xdr:colOff>220061</xdr:colOff>
      <xdr:row>5</xdr:row>
      <xdr:rowOff>131503</xdr:rowOff>
    </xdr:from>
    <xdr:ext cx="0" cy="153346"/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55B44CD7-7A21-4487-BD22-CE8190B9088A}"/>
            </a:ext>
          </a:extLst>
        </xdr:cNvPr>
        <xdr:cNvCxnSpPr/>
      </xdr:nvCxnSpPr>
      <xdr:spPr>
        <a:xfrm>
          <a:off x="22622861" y="1274503"/>
          <a:ext cx="0" cy="15334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98</xdr:col>
      <xdr:colOff>101508</xdr:colOff>
      <xdr:row>4</xdr:row>
      <xdr:rowOff>199576</xdr:rowOff>
    </xdr:from>
    <xdr:ext cx="444352" cy="224998"/>
    <xdr:sp macro="" textlink="$DJ$9">
      <xdr:nvSpPr>
        <xdr:cNvPr id="70" name="テキスト ボックス 69">
          <a:extLst>
            <a:ext uri="{FF2B5EF4-FFF2-40B4-BE49-F238E27FC236}">
              <a16:creationId xmlns:a16="http://schemas.microsoft.com/office/drawing/2014/main" id="{F32576B6-98A0-493D-A771-E397089815B7}"/>
            </a:ext>
          </a:extLst>
        </xdr:cNvPr>
        <xdr:cNvSpPr txBox="1"/>
      </xdr:nvSpPr>
      <xdr:spPr>
        <a:xfrm>
          <a:off x="22504308" y="1113976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BFA1449-AF35-4781-A6F2-38FD04F92BC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0.800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98</xdr:col>
      <xdr:colOff>204513</xdr:colOff>
      <xdr:row>8</xdr:row>
      <xdr:rowOff>192371</xdr:rowOff>
    </xdr:from>
    <xdr:ext cx="0" cy="58666"/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CE551E2-77FC-43CF-A36F-469814EAD2B7}"/>
            </a:ext>
          </a:extLst>
        </xdr:cNvPr>
        <xdr:cNvCxnSpPr/>
      </xdr:nvCxnSpPr>
      <xdr:spPr>
        <a:xfrm>
          <a:off x="22607313" y="202117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83765</xdr:colOff>
      <xdr:row>7</xdr:row>
      <xdr:rowOff>59901</xdr:rowOff>
    </xdr:from>
    <xdr:ext cx="0" cy="58666"/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37060A2A-1ABF-40D3-80F5-BE28B90308EB}"/>
            </a:ext>
          </a:extLst>
        </xdr:cNvPr>
        <xdr:cNvCxnSpPr/>
      </xdr:nvCxnSpPr>
      <xdr:spPr>
        <a:xfrm>
          <a:off x="22715165" y="166010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193764</xdr:colOff>
      <xdr:row>5</xdr:row>
      <xdr:rowOff>178599</xdr:rowOff>
    </xdr:from>
    <xdr:ext cx="219223" cy="0"/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69EE4778-E26A-445C-AF03-E8C93D6AFF45}"/>
            </a:ext>
          </a:extLst>
        </xdr:cNvPr>
        <xdr:cNvCxnSpPr/>
      </xdr:nvCxnSpPr>
      <xdr:spPr>
        <a:xfrm>
          <a:off x="22825164" y="1321599"/>
          <a:ext cx="2192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100</xdr:col>
      <xdr:colOff>185756</xdr:colOff>
      <xdr:row>5</xdr:row>
      <xdr:rowOff>139291</xdr:rowOff>
    </xdr:from>
    <xdr:ext cx="0" cy="58666"/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4653AFB7-ABDC-4D39-B5BA-792188F8BFD6}"/>
            </a:ext>
          </a:extLst>
        </xdr:cNvPr>
        <xdr:cNvCxnSpPr/>
      </xdr:nvCxnSpPr>
      <xdr:spPr>
        <a:xfrm>
          <a:off x="23045756" y="128229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128877</xdr:colOff>
      <xdr:row>5</xdr:row>
      <xdr:rowOff>130557</xdr:rowOff>
    </xdr:from>
    <xdr:ext cx="444352" cy="224998"/>
    <xdr:sp macro="" textlink="$DS$8">
      <xdr:nvSpPr>
        <xdr:cNvPr id="80" name="テキスト ボックス 79">
          <a:extLst>
            <a:ext uri="{FF2B5EF4-FFF2-40B4-BE49-F238E27FC236}">
              <a16:creationId xmlns:a16="http://schemas.microsoft.com/office/drawing/2014/main" id="{3C0EC121-04B2-4222-BBFD-BCECC47A2220}"/>
            </a:ext>
          </a:extLst>
        </xdr:cNvPr>
        <xdr:cNvSpPr txBox="1"/>
      </xdr:nvSpPr>
      <xdr:spPr>
        <a:xfrm>
          <a:off x="22760277" y="1273557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8C8D595-C281-47B3-9822-68A5418A11A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98</xdr:col>
      <xdr:colOff>171258</xdr:colOff>
      <xdr:row>8</xdr:row>
      <xdr:rowOff>155479</xdr:rowOff>
    </xdr:from>
    <xdr:ext cx="444352" cy="224998"/>
    <xdr:sp macro="" textlink="$DP$10">
      <xdr:nvSpPr>
        <xdr:cNvPr id="83" name="テキスト ボックス 82">
          <a:extLst>
            <a:ext uri="{FF2B5EF4-FFF2-40B4-BE49-F238E27FC236}">
              <a16:creationId xmlns:a16="http://schemas.microsoft.com/office/drawing/2014/main" id="{FF5B46EB-C689-4E86-90BA-2B246DBCC0F9}"/>
            </a:ext>
          </a:extLst>
        </xdr:cNvPr>
        <xdr:cNvSpPr txBox="1"/>
      </xdr:nvSpPr>
      <xdr:spPr>
        <a:xfrm>
          <a:off x="22574058" y="1984279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1B117665-D718-463A-B80E-1CEC78F0DE07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98</xdr:col>
      <xdr:colOff>210178</xdr:colOff>
      <xdr:row>8</xdr:row>
      <xdr:rowOff>215276</xdr:rowOff>
    </xdr:from>
    <xdr:ext cx="240323" cy="0"/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AE404B51-05B5-4F31-8C7C-E08A9608570E}"/>
            </a:ext>
          </a:extLst>
        </xdr:cNvPr>
        <xdr:cNvCxnSpPr/>
      </xdr:nvCxnSpPr>
      <xdr:spPr>
        <a:xfrm>
          <a:off x="22612978" y="2044076"/>
          <a:ext cx="2403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223270</xdr:colOff>
      <xdr:row>8</xdr:row>
      <xdr:rowOff>175968</xdr:rowOff>
    </xdr:from>
    <xdr:ext cx="0" cy="58666"/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1045E944-7968-4C14-A29E-BFEAA7D6D3B9}"/>
            </a:ext>
          </a:extLst>
        </xdr:cNvPr>
        <xdr:cNvCxnSpPr/>
      </xdr:nvCxnSpPr>
      <xdr:spPr>
        <a:xfrm>
          <a:off x="22854670" y="200476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209673</xdr:colOff>
      <xdr:row>8</xdr:row>
      <xdr:rowOff>132905</xdr:rowOff>
    </xdr:from>
    <xdr:ext cx="37664" cy="42986"/>
    <xdr:sp macro="" textlink="">
      <xdr:nvSpPr>
        <xdr:cNvPr id="87" name="楕円 86">
          <a:extLst>
            <a:ext uri="{FF2B5EF4-FFF2-40B4-BE49-F238E27FC236}">
              <a16:creationId xmlns:a16="http://schemas.microsoft.com/office/drawing/2014/main" id="{8EFD6822-E5DC-4A56-BE89-499F42E39598}"/>
            </a:ext>
          </a:extLst>
        </xdr:cNvPr>
        <xdr:cNvSpPr/>
      </xdr:nvSpPr>
      <xdr:spPr>
        <a:xfrm>
          <a:off x="22841073" y="1961705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100</xdr:col>
      <xdr:colOff>169815</xdr:colOff>
      <xdr:row>5</xdr:row>
      <xdr:rowOff>95057</xdr:rowOff>
    </xdr:from>
    <xdr:ext cx="37664" cy="42986"/>
    <xdr:sp macro="" textlink="">
      <xdr:nvSpPr>
        <xdr:cNvPr id="88" name="楕円 87">
          <a:extLst>
            <a:ext uri="{FF2B5EF4-FFF2-40B4-BE49-F238E27FC236}">
              <a16:creationId xmlns:a16="http://schemas.microsoft.com/office/drawing/2014/main" id="{E8D62445-04EA-4C2F-958D-181E33E9FEFC}"/>
            </a:ext>
          </a:extLst>
        </xdr:cNvPr>
        <xdr:cNvSpPr/>
      </xdr:nvSpPr>
      <xdr:spPr>
        <a:xfrm>
          <a:off x="23029815" y="123805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99</xdr:col>
      <xdr:colOff>2175</xdr:colOff>
      <xdr:row>11</xdr:row>
      <xdr:rowOff>140777</xdr:rowOff>
    </xdr:from>
    <xdr:ext cx="37664" cy="42986"/>
    <xdr:sp macro="" textlink="">
      <xdr:nvSpPr>
        <xdr:cNvPr id="89" name="楕円 88">
          <a:extLst>
            <a:ext uri="{FF2B5EF4-FFF2-40B4-BE49-F238E27FC236}">
              <a16:creationId xmlns:a16="http://schemas.microsoft.com/office/drawing/2014/main" id="{E15BB53E-F204-48C7-AF2E-3C48E7F563B8}"/>
            </a:ext>
          </a:extLst>
        </xdr:cNvPr>
        <xdr:cNvSpPr/>
      </xdr:nvSpPr>
      <xdr:spPr>
        <a:xfrm>
          <a:off x="22633575" y="265537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99</xdr:col>
      <xdr:colOff>94119</xdr:colOff>
      <xdr:row>7</xdr:row>
      <xdr:rowOff>82806</xdr:rowOff>
    </xdr:from>
    <xdr:ext cx="240323" cy="0"/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81561825-1031-45C2-8203-78286FD2F50F}"/>
            </a:ext>
          </a:extLst>
        </xdr:cNvPr>
        <xdr:cNvCxnSpPr/>
      </xdr:nvCxnSpPr>
      <xdr:spPr>
        <a:xfrm>
          <a:off x="22725519" y="1683006"/>
          <a:ext cx="2403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100</xdr:col>
      <xdr:colOff>107211</xdr:colOff>
      <xdr:row>7</xdr:row>
      <xdr:rowOff>43498</xdr:rowOff>
    </xdr:from>
    <xdr:ext cx="0" cy="58666"/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C2FB1BC8-205E-477A-AB64-255B755CFE11}"/>
            </a:ext>
          </a:extLst>
        </xdr:cNvPr>
        <xdr:cNvCxnSpPr/>
      </xdr:nvCxnSpPr>
      <xdr:spPr>
        <a:xfrm>
          <a:off x="22967211" y="164369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99</xdr:col>
      <xdr:colOff>33774</xdr:colOff>
      <xdr:row>7</xdr:row>
      <xdr:rowOff>34281</xdr:rowOff>
    </xdr:from>
    <xdr:ext cx="444352" cy="224998"/>
    <xdr:sp macro="" textlink="$DP$9">
      <xdr:nvSpPr>
        <xdr:cNvPr id="92" name="テキスト ボックス 91">
          <a:extLst>
            <a:ext uri="{FF2B5EF4-FFF2-40B4-BE49-F238E27FC236}">
              <a16:creationId xmlns:a16="http://schemas.microsoft.com/office/drawing/2014/main" id="{AE322B0F-2E19-4A71-87E5-8808494FA450}"/>
            </a:ext>
          </a:extLst>
        </xdr:cNvPr>
        <xdr:cNvSpPr txBox="1"/>
      </xdr:nvSpPr>
      <xdr:spPr>
        <a:xfrm>
          <a:off x="22665174" y="16344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460BBAD-9A59-42C4-BC14-158EB14282E9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100</xdr:col>
      <xdr:colOff>91270</xdr:colOff>
      <xdr:row>6</xdr:row>
      <xdr:rowOff>219658</xdr:rowOff>
    </xdr:from>
    <xdr:ext cx="37664" cy="42986"/>
    <xdr:sp macro="" textlink="">
      <xdr:nvSpPr>
        <xdr:cNvPr id="93" name="楕円 92">
          <a:extLst>
            <a:ext uri="{FF2B5EF4-FFF2-40B4-BE49-F238E27FC236}">
              <a16:creationId xmlns:a16="http://schemas.microsoft.com/office/drawing/2014/main" id="{5B22B2FB-2F01-40A0-9144-1647428365B2}"/>
            </a:ext>
          </a:extLst>
        </xdr:cNvPr>
        <xdr:cNvSpPr/>
      </xdr:nvSpPr>
      <xdr:spPr>
        <a:xfrm>
          <a:off x="22951270" y="159125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99</xdr:col>
      <xdr:colOff>191471</xdr:colOff>
      <xdr:row>5</xdr:row>
      <xdr:rowOff>152626</xdr:rowOff>
    </xdr:from>
    <xdr:ext cx="0" cy="58666"/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2FFF2828-B60C-4E47-A4FC-D5C65D6E4025}"/>
            </a:ext>
          </a:extLst>
        </xdr:cNvPr>
        <xdr:cNvCxnSpPr/>
      </xdr:nvCxnSpPr>
      <xdr:spPr>
        <a:xfrm>
          <a:off x="22822871" y="1295626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63739</xdr:colOff>
      <xdr:row>4</xdr:row>
      <xdr:rowOff>193827</xdr:rowOff>
    </xdr:from>
    <xdr:ext cx="409788" cy="0"/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F4CDCE18-7000-4EF7-BAB6-E59BB6CAAD56}"/>
            </a:ext>
          </a:extLst>
        </xdr:cNvPr>
        <xdr:cNvCxnSpPr/>
      </xdr:nvCxnSpPr>
      <xdr:spPr>
        <a:xfrm>
          <a:off x="14922739" y="1108227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119811</xdr:colOff>
      <xdr:row>4</xdr:row>
      <xdr:rowOff>195086</xdr:rowOff>
    </xdr:from>
    <xdr:ext cx="581794" cy="2117999"/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2B02187E-495B-4279-AEB4-D1F4C1FB1FA0}"/>
            </a:ext>
          </a:extLst>
        </xdr:cNvPr>
        <xdr:cNvCxnSpPr/>
      </xdr:nvCxnSpPr>
      <xdr:spPr>
        <a:xfrm flipH="1">
          <a:off x="14750211" y="1109486"/>
          <a:ext cx="581794" cy="2117999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62</xdr:col>
      <xdr:colOff>167735</xdr:colOff>
      <xdr:row>4</xdr:row>
      <xdr:rowOff>195013</xdr:rowOff>
    </xdr:from>
    <xdr:ext cx="581037" cy="2115065"/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994D8225-4ABE-4FD7-B0CF-0A091C6E5356}"/>
            </a:ext>
          </a:extLst>
        </xdr:cNvPr>
        <xdr:cNvCxnSpPr/>
      </xdr:nvCxnSpPr>
      <xdr:spPr>
        <a:xfrm flipH="1">
          <a:off x="14340935" y="1109413"/>
          <a:ext cx="581037" cy="2115065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62</xdr:col>
      <xdr:colOff>125977</xdr:colOff>
      <xdr:row>14</xdr:row>
      <xdr:rowOff>9647</xdr:rowOff>
    </xdr:from>
    <xdr:ext cx="481788" cy="92843"/>
    <xdr:sp macro="" textlink="">
      <xdr:nvSpPr>
        <xdr:cNvPr id="98" name="正方形/長方形 97">
          <a:extLst>
            <a:ext uri="{FF2B5EF4-FFF2-40B4-BE49-F238E27FC236}">
              <a16:creationId xmlns:a16="http://schemas.microsoft.com/office/drawing/2014/main" id="{116F0A51-E936-44DF-B75D-2E98CEA4C0E4}"/>
            </a:ext>
          </a:extLst>
        </xdr:cNvPr>
        <xdr:cNvSpPr/>
      </xdr:nvSpPr>
      <xdr:spPr>
        <a:xfrm>
          <a:off x="14299177" y="321004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28755</xdr:colOff>
      <xdr:row>5</xdr:row>
      <xdr:rowOff>88700</xdr:rowOff>
    </xdr:from>
    <xdr:ext cx="537553" cy="1985738"/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8EAF93A6-577F-4489-BED0-C7CF3D32C6C6}"/>
            </a:ext>
          </a:extLst>
        </xdr:cNvPr>
        <xdr:cNvCxnSpPr/>
      </xdr:nvCxnSpPr>
      <xdr:spPr>
        <a:xfrm flipH="1">
          <a:off x="14659155" y="1231700"/>
          <a:ext cx="537553" cy="1985738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34281</xdr:colOff>
      <xdr:row>12</xdr:row>
      <xdr:rowOff>117356</xdr:rowOff>
    </xdr:from>
    <xdr:ext cx="312805" cy="0"/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73A7EC5F-6377-4147-A11B-2EF2D2E5E572}"/>
            </a:ext>
          </a:extLst>
        </xdr:cNvPr>
        <xdr:cNvCxnSpPr/>
      </xdr:nvCxnSpPr>
      <xdr:spPr>
        <a:xfrm>
          <a:off x="14436081" y="2860556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124847</xdr:colOff>
      <xdr:row>10</xdr:row>
      <xdr:rowOff>225942</xdr:rowOff>
    </xdr:from>
    <xdr:ext cx="319700" cy="0"/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C68F81AF-659C-4745-BAC0-C1FEC4267D83}"/>
            </a:ext>
          </a:extLst>
        </xdr:cNvPr>
        <xdr:cNvCxnSpPr/>
      </xdr:nvCxnSpPr>
      <xdr:spPr>
        <a:xfrm>
          <a:off x="14526647" y="2511942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63</xdr:col>
      <xdr:colOff>227536</xdr:colOff>
      <xdr:row>9</xdr:row>
      <xdr:rowOff>103478</xdr:rowOff>
    </xdr:from>
    <xdr:ext cx="312806" cy="0"/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36BD9338-1113-4F90-8381-2A9A8C3FD5A6}"/>
            </a:ext>
          </a:extLst>
        </xdr:cNvPr>
        <xdr:cNvCxnSpPr/>
      </xdr:nvCxnSpPr>
      <xdr:spPr>
        <a:xfrm>
          <a:off x="14629336" y="2160878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93855</xdr:colOff>
      <xdr:row>7</xdr:row>
      <xdr:rowOff>201175</xdr:rowOff>
    </xdr:from>
    <xdr:ext cx="310084" cy="0"/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CCBD7E02-4A9E-4208-9557-7C667503F3CD}"/>
            </a:ext>
          </a:extLst>
        </xdr:cNvPr>
        <xdr:cNvCxnSpPr/>
      </xdr:nvCxnSpPr>
      <xdr:spPr>
        <a:xfrm>
          <a:off x="14724255" y="1801375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197881</xdr:colOff>
      <xdr:row>6</xdr:row>
      <xdr:rowOff>59117</xdr:rowOff>
    </xdr:from>
    <xdr:ext cx="312805" cy="0"/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4EB0A0C8-5136-4D63-B70F-D687B232BE03}"/>
            </a:ext>
          </a:extLst>
        </xdr:cNvPr>
        <xdr:cNvCxnSpPr/>
      </xdr:nvCxnSpPr>
      <xdr:spPr>
        <a:xfrm>
          <a:off x="14828281" y="143071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19786</xdr:colOff>
      <xdr:row>5</xdr:row>
      <xdr:rowOff>83201</xdr:rowOff>
    </xdr:from>
    <xdr:ext cx="426244" cy="0"/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7A904A06-9E10-4414-B42C-00A150306A10}"/>
            </a:ext>
          </a:extLst>
        </xdr:cNvPr>
        <xdr:cNvCxnSpPr/>
      </xdr:nvCxnSpPr>
      <xdr:spPr>
        <a:xfrm>
          <a:off x="14878786" y="122620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75780</xdr:colOff>
      <xdr:row>7</xdr:row>
      <xdr:rowOff>186648</xdr:rowOff>
    </xdr:from>
    <xdr:ext cx="37664" cy="42986"/>
    <xdr:sp macro="" textlink="">
      <xdr:nvSpPr>
        <xdr:cNvPr id="106" name="楕円 105">
          <a:extLst>
            <a:ext uri="{FF2B5EF4-FFF2-40B4-BE49-F238E27FC236}">
              <a16:creationId xmlns:a16="http://schemas.microsoft.com/office/drawing/2014/main" id="{8F8AA027-CEE9-4484-9B85-272011818186}"/>
            </a:ext>
          </a:extLst>
        </xdr:cNvPr>
        <xdr:cNvSpPr/>
      </xdr:nvSpPr>
      <xdr:spPr>
        <a:xfrm>
          <a:off x="14706180" y="178684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63</xdr:col>
      <xdr:colOff>130307</xdr:colOff>
      <xdr:row>13</xdr:row>
      <xdr:rowOff>45809</xdr:rowOff>
    </xdr:from>
    <xdr:ext cx="37664" cy="42986"/>
    <xdr:sp macro="" textlink="">
      <xdr:nvSpPr>
        <xdr:cNvPr id="107" name="楕円 106">
          <a:extLst>
            <a:ext uri="{FF2B5EF4-FFF2-40B4-BE49-F238E27FC236}">
              <a16:creationId xmlns:a16="http://schemas.microsoft.com/office/drawing/2014/main" id="{67F30FB6-80BF-4178-AAAE-ADBB4DC3D60F}"/>
            </a:ext>
          </a:extLst>
        </xdr:cNvPr>
        <xdr:cNvSpPr/>
      </xdr:nvSpPr>
      <xdr:spPr>
        <a:xfrm>
          <a:off x="14532107" y="301760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63</xdr:col>
      <xdr:colOff>73924</xdr:colOff>
      <xdr:row>4</xdr:row>
      <xdr:rowOff>213765</xdr:rowOff>
    </xdr:from>
    <xdr:ext cx="444352" cy="224998"/>
    <xdr:sp macro="" textlink="$AR$8">
      <xdr:nvSpPr>
        <xdr:cNvPr id="108" name="テキスト ボックス 107">
          <a:extLst>
            <a:ext uri="{FF2B5EF4-FFF2-40B4-BE49-F238E27FC236}">
              <a16:creationId xmlns:a16="http://schemas.microsoft.com/office/drawing/2014/main" id="{D8425DD5-D311-4054-B752-AF846F7B9DC7}"/>
            </a:ext>
          </a:extLst>
        </xdr:cNvPr>
        <xdr:cNvSpPr txBox="1"/>
      </xdr:nvSpPr>
      <xdr:spPr>
        <a:xfrm>
          <a:off x="14475724" y="1128165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83F4410B-8A2F-4B55-BECA-87FB9BE85CFA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0.400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86100</xdr:colOff>
      <xdr:row>5</xdr:row>
      <xdr:rowOff>179821</xdr:rowOff>
    </xdr:from>
    <xdr:ext cx="100437" cy="0"/>
    <xdr:cxnSp macro="">
      <xdr:nvCxnSpPr>
        <xdr:cNvPr id="109" name="直線コネクタ 108">
          <a:extLst>
            <a:ext uri="{FF2B5EF4-FFF2-40B4-BE49-F238E27FC236}">
              <a16:creationId xmlns:a16="http://schemas.microsoft.com/office/drawing/2014/main" id="{60D3FD1E-73B6-437B-A888-503C3AE93496}"/>
            </a:ext>
          </a:extLst>
        </xdr:cNvPr>
        <xdr:cNvCxnSpPr/>
      </xdr:nvCxnSpPr>
      <xdr:spPr>
        <a:xfrm>
          <a:off x="14716500" y="1322821"/>
          <a:ext cx="100437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75151</xdr:colOff>
      <xdr:row>5</xdr:row>
      <xdr:rowOff>149185</xdr:rowOff>
    </xdr:from>
    <xdr:ext cx="0" cy="218955"/>
    <xdr:cxnSp macro="">
      <xdr:nvCxnSpPr>
        <xdr:cNvPr id="110" name="直線コネクタ 109">
          <a:extLst>
            <a:ext uri="{FF2B5EF4-FFF2-40B4-BE49-F238E27FC236}">
              <a16:creationId xmlns:a16="http://schemas.microsoft.com/office/drawing/2014/main" id="{36A1B2A0-ADED-4EC8-9C49-BF0AADCCE184}"/>
            </a:ext>
          </a:extLst>
        </xdr:cNvPr>
        <xdr:cNvCxnSpPr/>
      </xdr:nvCxnSpPr>
      <xdr:spPr>
        <a:xfrm>
          <a:off x="14705551" y="1292185"/>
          <a:ext cx="0" cy="218955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106510</xdr:colOff>
      <xdr:row>10</xdr:row>
      <xdr:rowOff>17098</xdr:rowOff>
    </xdr:from>
    <xdr:ext cx="37664" cy="42986"/>
    <xdr:sp macro="" textlink="">
      <xdr:nvSpPr>
        <xdr:cNvPr id="111" name="楕円 110">
          <a:extLst>
            <a:ext uri="{FF2B5EF4-FFF2-40B4-BE49-F238E27FC236}">
              <a16:creationId xmlns:a16="http://schemas.microsoft.com/office/drawing/2014/main" id="{6DAA92A6-D2CA-46EB-9C14-29C395168DE7}"/>
            </a:ext>
          </a:extLst>
        </xdr:cNvPr>
        <xdr:cNvSpPr/>
      </xdr:nvSpPr>
      <xdr:spPr>
        <a:xfrm>
          <a:off x="14736910" y="230309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83765</xdr:colOff>
      <xdr:row>7</xdr:row>
      <xdr:rowOff>59901</xdr:rowOff>
    </xdr:from>
    <xdr:ext cx="0" cy="58666"/>
    <xdr:cxnSp macro="">
      <xdr:nvCxnSpPr>
        <xdr:cNvPr id="189" name="直線コネクタ 188">
          <a:extLst>
            <a:ext uri="{FF2B5EF4-FFF2-40B4-BE49-F238E27FC236}">
              <a16:creationId xmlns:a16="http://schemas.microsoft.com/office/drawing/2014/main" id="{FFC2E075-CB08-4AA0-80D0-527D59CE0F6D}"/>
            </a:ext>
          </a:extLst>
        </xdr:cNvPr>
        <xdr:cNvCxnSpPr/>
      </xdr:nvCxnSpPr>
      <xdr:spPr>
        <a:xfrm>
          <a:off x="14714165" y="166010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193764</xdr:colOff>
      <xdr:row>5</xdr:row>
      <xdr:rowOff>178599</xdr:rowOff>
    </xdr:from>
    <xdr:ext cx="219223" cy="0"/>
    <xdr:cxnSp macro="">
      <xdr:nvCxnSpPr>
        <xdr:cNvPr id="199" name="直線コネクタ 198">
          <a:extLst>
            <a:ext uri="{FF2B5EF4-FFF2-40B4-BE49-F238E27FC236}">
              <a16:creationId xmlns:a16="http://schemas.microsoft.com/office/drawing/2014/main" id="{8A4E9B5F-66C1-4A5E-AD35-7A2F7A66E073}"/>
            </a:ext>
          </a:extLst>
        </xdr:cNvPr>
        <xdr:cNvCxnSpPr/>
      </xdr:nvCxnSpPr>
      <xdr:spPr>
        <a:xfrm>
          <a:off x="14824164" y="1321599"/>
          <a:ext cx="2192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185756</xdr:colOff>
      <xdr:row>5</xdr:row>
      <xdr:rowOff>139291</xdr:rowOff>
    </xdr:from>
    <xdr:ext cx="0" cy="58666"/>
    <xdr:cxnSp macro="">
      <xdr:nvCxnSpPr>
        <xdr:cNvPr id="200" name="直線コネクタ 199">
          <a:extLst>
            <a:ext uri="{FF2B5EF4-FFF2-40B4-BE49-F238E27FC236}">
              <a16:creationId xmlns:a16="http://schemas.microsoft.com/office/drawing/2014/main" id="{F121E603-753A-4A0A-AEB1-40A4384952CE}"/>
            </a:ext>
          </a:extLst>
        </xdr:cNvPr>
        <xdr:cNvCxnSpPr/>
      </xdr:nvCxnSpPr>
      <xdr:spPr>
        <a:xfrm>
          <a:off x="15044756" y="128229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123585</xdr:colOff>
      <xdr:row>5</xdr:row>
      <xdr:rowOff>133521</xdr:rowOff>
    </xdr:from>
    <xdr:ext cx="444352" cy="224998"/>
    <xdr:sp macro="" textlink="$BA$8">
      <xdr:nvSpPr>
        <xdr:cNvPr id="202" name="テキスト ボックス 201">
          <a:extLst>
            <a:ext uri="{FF2B5EF4-FFF2-40B4-BE49-F238E27FC236}">
              <a16:creationId xmlns:a16="http://schemas.microsoft.com/office/drawing/2014/main" id="{DA495E15-092D-4E04-B642-497DFFAE17A5}"/>
            </a:ext>
          </a:extLst>
        </xdr:cNvPr>
        <xdr:cNvSpPr txBox="1"/>
      </xdr:nvSpPr>
      <xdr:spPr>
        <a:xfrm>
          <a:off x="14753985" y="127652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1C63182-A036-4C94-A366-2D1753A1129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64</xdr:col>
      <xdr:colOff>209673</xdr:colOff>
      <xdr:row>8</xdr:row>
      <xdr:rowOff>132905</xdr:rowOff>
    </xdr:from>
    <xdr:ext cx="37664" cy="42986"/>
    <xdr:sp macro="" textlink="">
      <xdr:nvSpPr>
        <xdr:cNvPr id="223" name="楕円 222">
          <a:extLst>
            <a:ext uri="{FF2B5EF4-FFF2-40B4-BE49-F238E27FC236}">
              <a16:creationId xmlns:a16="http://schemas.microsoft.com/office/drawing/2014/main" id="{87663038-8ECD-4E80-9756-8158D2C20970}"/>
            </a:ext>
          </a:extLst>
        </xdr:cNvPr>
        <xdr:cNvSpPr/>
      </xdr:nvSpPr>
      <xdr:spPr>
        <a:xfrm>
          <a:off x="14840073" y="1961705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65</xdr:col>
      <xdr:colOff>169815</xdr:colOff>
      <xdr:row>5</xdr:row>
      <xdr:rowOff>95057</xdr:rowOff>
    </xdr:from>
    <xdr:ext cx="37664" cy="42986"/>
    <xdr:sp macro="" textlink="">
      <xdr:nvSpPr>
        <xdr:cNvPr id="224" name="楕円 223">
          <a:extLst>
            <a:ext uri="{FF2B5EF4-FFF2-40B4-BE49-F238E27FC236}">
              <a16:creationId xmlns:a16="http://schemas.microsoft.com/office/drawing/2014/main" id="{3787A3B9-39DE-4655-995E-D094CB106E5B}"/>
            </a:ext>
          </a:extLst>
        </xdr:cNvPr>
        <xdr:cNvSpPr/>
      </xdr:nvSpPr>
      <xdr:spPr>
        <a:xfrm>
          <a:off x="15028815" y="123805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2175</xdr:colOff>
      <xdr:row>11</xdr:row>
      <xdr:rowOff>140777</xdr:rowOff>
    </xdr:from>
    <xdr:ext cx="37664" cy="42986"/>
    <xdr:sp macro="" textlink="">
      <xdr:nvSpPr>
        <xdr:cNvPr id="225" name="楕円 224">
          <a:extLst>
            <a:ext uri="{FF2B5EF4-FFF2-40B4-BE49-F238E27FC236}">
              <a16:creationId xmlns:a16="http://schemas.microsoft.com/office/drawing/2014/main" id="{8BB30746-0E28-4855-BDA4-D4221B1942F4}"/>
            </a:ext>
          </a:extLst>
        </xdr:cNvPr>
        <xdr:cNvSpPr/>
      </xdr:nvSpPr>
      <xdr:spPr>
        <a:xfrm>
          <a:off x="14632575" y="265537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94119</xdr:colOff>
      <xdr:row>7</xdr:row>
      <xdr:rowOff>82806</xdr:rowOff>
    </xdr:from>
    <xdr:ext cx="240323" cy="0"/>
    <xdr:cxnSp macro="">
      <xdr:nvCxnSpPr>
        <xdr:cNvPr id="226" name="直線コネクタ 225">
          <a:extLst>
            <a:ext uri="{FF2B5EF4-FFF2-40B4-BE49-F238E27FC236}">
              <a16:creationId xmlns:a16="http://schemas.microsoft.com/office/drawing/2014/main" id="{F06824AF-56D4-4B9C-AFEC-CDA136E9DEDB}"/>
            </a:ext>
          </a:extLst>
        </xdr:cNvPr>
        <xdr:cNvCxnSpPr/>
      </xdr:nvCxnSpPr>
      <xdr:spPr>
        <a:xfrm>
          <a:off x="14724519" y="1683006"/>
          <a:ext cx="2403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65</xdr:col>
      <xdr:colOff>107211</xdr:colOff>
      <xdr:row>7</xdr:row>
      <xdr:rowOff>43498</xdr:rowOff>
    </xdr:from>
    <xdr:ext cx="0" cy="58666"/>
    <xdr:cxnSp macro="">
      <xdr:nvCxnSpPr>
        <xdr:cNvPr id="227" name="直線コネクタ 226">
          <a:extLst>
            <a:ext uri="{FF2B5EF4-FFF2-40B4-BE49-F238E27FC236}">
              <a16:creationId xmlns:a16="http://schemas.microsoft.com/office/drawing/2014/main" id="{EF42938D-AB33-43D1-A95F-F132E4596C8B}"/>
            </a:ext>
          </a:extLst>
        </xdr:cNvPr>
        <xdr:cNvCxnSpPr/>
      </xdr:nvCxnSpPr>
      <xdr:spPr>
        <a:xfrm>
          <a:off x="14966211" y="1643698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64</xdr:col>
      <xdr:colOff>33774</xdr:colOff>
      <xdr:row>7</xdr:row>
      <xdr:rowOff>34281</xdr:rowOff>
    </xdr:from>
    <xdr:ext cx="444352" cy="224998"/>
    <xdr:sp macro="" textlink="$AX$9">
      <xdr:nvSpPr>
        <xdr:cNvPr id="228" name="テキスト ボックス 227">
          <a:extLst>
            <a:ext uri="{FF2B5EF4-FFF2-40B4-BE49-F238E27FC236}">
              <a16:creationId xmlns:a16="http://schemas.microsoft.com/office/drawing/2014/main" id="{22C8B6A0-5480-4CEA-96AD-34DE678C1892}"/>
            </a:ext>
          </a:extLst>
        </xdr:cNvPr>
        <xdr:cNvSpPr txBox="1"/>
      </xdr:nvSpPr>
      <xdr:spPr>
        <a:xfrm>
          <a:off x="14664174" y="16344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DFE15C5-3290-45D6-B14B-00AA115D44AF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0.750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65</xdr:col>
      <xdr:colOff>91270</xdr:colOff>
      <xdr:row>6</xdr:row>
      <xdr:rowOff>219658</xdr:rowOff>
    </xdr:from>
    <xdr:ext cx="37664" cy="42986"/>
    <xdr:sp macro="" textlink="">
      <xdr:nvSpPr>
        <xdr:cNvPr id="229" name="楕円 228">
          <a:extLst>
            <a:ext uri="{FF2B5EF4-FFF2-40B4-BE49-F238E27FC236}">
              <a16:creationId xmlns:a16="http://schemas.microsoft.com/office/drawing/2014/main" id="{20A9E6F6-30FA-403C-AFCB-C27D03236173}"/>
            </a:ext>
          </a:extLst>
        </xdr:cNvPr>
        <xdr:cNvSpPr/>
      </xdr:nvSpPr>
      <xdr:spPr>
        <a:xfrm>
          <a:off x="14950270" y="159125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64</xdr:col>
      <xdr:colOff>191471</xdr:colOff>
      <xdr:row>5</xdr:row>
      <xdr:rowOff>152626</xdr:rowOff>
    </xdr:from>
    <xdr:ext cx="0" cy="58666"/>
    <xdr:cxnSp macro="">
      <xdr:nvCxnSpPr>
        <xdr:cNvPr id="230" name="直線コネクタ 229">
          <a:extLst>
            <a:ext uri="{FF2B5EF4-FFF2-40B4-BE49-F238E27FC236}">
              <a16:creationId xmlns:a16="http://schemas.microsoft.com/office/drawing/2014/main" id="{7B871152-F3E2-4C87-B785-EF61EE682AB0}"/>
            </a:ext>
          </a:extLst>
        </xdr:cNvPr>
        <xdr:cNvCxnSpPr/>
      </xdr:nvCxnSpPr>
      <xdr:spPr>
        <a:xfrm>
          <a:off x="14821871" y="1295626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63739</xdr:colOff>
      <xdr:row>4</xdr:row>
      <xdr:rowOff>193827</xdr:rowOff>
    </xdr:from>
    <xdr:ext cx="409788" cy="0"/>
    <xdr:cxnSp macro="">
      <xdr:nvCxnSpPr>
        <xdr:cNvPr id="231" name="直線コネクタ 230">
          <a:extLst>
            <a:ext uri="{FF2B5EF4-FFF2-40B4-BE49-F238E27FC236}">
              <a16:creationId xmlns:a16="http://schemas.microsoft.com/office/drawing/2014/main" id="{9FDE8C23-B610-49D3-86F0-DB7AABC0F1BA}"/>
            </a:ext>
          </a:extLst>
        </xdr:cNvPr>
        <xdr:cNvCxnSpPr/>
      </xdr:nvCxnSpPr>
      <xdr:spPr>
        <a:xfrm>
          <a:off x="6921739" y="1108227"/>
          <a:ext cx="40978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119812</xdr:colOff>
      <xdr:row>4</xdr:row>
      <xdr:rowOff>195086</xdr:rowOff>
    </xdr:from>
    <xdr:ext cx="581793" cy="2117993"/>
    <xdr:cxnSp macro="">
      <xdr:nvCxnSpPr>
        <xdr:cNvPr id="232" name="直線コネクタ 231">
          <a:extLst>
            <a:ext uri="{FF2B5EF4-FFF2-40B4-BE49-F238E27FC236}">
              <a16:creationId xmlns:a16="http://schemas.microsoft.com/office/drawing/2014/main" id="{E771FF78-4401-4AF8-9C4A-ADF02EAFF984}"/>
            </a:ext>
          </a:extLst>
        </xdr:cNvPr>
        <xdr:cNvCxnSpPr/>
      </xdr:nvCxnSpPr>
      <xdr:spPr>
        <a:xfrm flipH="1">
          <a:off x="6749212" y="1109486"/>
          <a:ext cx="581793" cy="2117993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167736</xdr:colOff>
      <xdr:row>4</xdr:row>
      <xdr:rowOff>195013</xdr:rowOff>
    </xdr:from>
    <xdr:ext cx="581036" cy="2115061"/>
    <xdr:cxnSp macro="">
      <xdr:nvCxnSpPr>
        <xdr:cNvPr id="233" name="直線コネクタ 232">
          <a:extLst>
            <a:ext uri="{FF2B5EF4-FFF2-40B4-BE49-F238E27FC236}">
              <a16:creationId xmlns:a16="http://schemas.microsoft.com/office/drawing/2014/main" id="{C1686F7F-91DF-4031-AED4-9A6591BAB19B}"/>
            </a:ext>
          </a:extLst>
        </xdr:cNvPr>
        <xdr:cNvCxnSpPr/>
      </xdr:nvCxnSpPr>
      <xdr:spPr>
        <a:xfrm flipH="1">
          <a:off x="6339936" y="1109413"/>
          <a:ext cx="581036" cy="211506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121185</xdr:colOff>
      <xdr:row>14</xdr:row>
      <xdr:rowOff>9647</xdr:rowOff>
    </xdr:from>
    <xdr:ext cx="481788" cy="92843"/>
    <xdr:sp macro="" textlink="">
      <xdr:nvSpPr>
        <xdr:cNvPr id="234" name="正方形/長方形 233">
          <a:extLst>
            <a:ext uri="{FF2B5EF4-FFF2-40B4-BE49-F238E27FC236}">
              <a16:creationId xmlns:a16="http://schemas.microsoft.com/office/drawing/2014/main" id="{6CD694B0-2BE5-4991-92E2-2407981ECC0B}"/>
            </a:ext>
          </a:extLst>
        </xdr:cNvPr>
        <xdr:cNvSpPr/>
      </xdr:nvSpPr>
      <xdr:spPr>
        <a:xfrm>
          <a:off x="6293385" y="3210047"/>
          <a:ext cx="481788" cy="9284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28755</xdr:colOff>
      <xdr:row>5</xdr:row>
      <xdr:rowOff>88700</xdr:rowOff>
    </xdr:from>
    <xdr:ext cx="537554" cy="1985741"/>
    <xdr:cxnSp macro="">
      <xdr:nvCxnSpPr>
        <xdr:cNvPr id="235" name="直線コネクタ 234">
          <a:extLst>
            <a:ext uri="{FF2B5EF4-FFF2-40B4-BE49-F238E27FC236}">
              <a16:creationId xmlns:a16="http://schemas.microsoft.com/office/drawing/2014/main" id="{7B94CC2A-0912-48F3-A28E-0B3D0AA6EC5B}"/>
            </a:ext>
          </a:extLst>
        </xdr:cNvPr>
        <xdr:cNvCxnSpPr/>
      </xdr:nvCxnSpPr>
      <xdr:spPr>
        <a:xfrm flipH="1">
          <a:off x="6658155" y="1231700"/>
          <a:ext cx="537554" cy="198574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34281</xdr:colOff>
      <xdr:row>12</xdr:row>
      <xdr:rowOff>117356</xdr:rowOff>
    </xdr:from>
    <xdr:ext cx="312805" cy="0"/>
    <xdr:cxnSp macro="">
      <xdr:nvCxnSpPr>
        <xdr:cNvPr id="236" name="直線コネクタ 235">
          <a:extLst>
            <a:ext uri="{FF2B5EF4-FFF2-40B4-BE49-F238E27FC236}">
              <a16:creationId xmlns:a16="http://schemas.microsoft.com/office/drawing/2014/main" id="{C0552436-9DC6-43BF-BFA1-9A83BDC968D7}"/>
            </a:ext>
          </a:extLst>
        </xdr:cNvPr>
        <xdr:cNvCxnSpPr/>
      </xdr:nvCxnSpPr>
      <xdr:spPr>
        <a:xfrm>
          <a:off x="6435081" y="2860556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124847</xdr:colOff>
      <xdr:row>10</xdr:row>
      <xdr:rowOff>225942</xdr:rowOff>
    </xdr:from>
    <xdr:ext cx="319700" cy="0"/>
    <xdr:cxnSp macro="">
      <xdr:nvCxnSpPr>
        <xdr:cNvPr id="237" name="直線コネクタ 236">
          <a:extLst>
            <a:ext uri="{FF2B5EF4-FFF2-40B4-BE49-F238E27FC236}">
              <a16:creationId xmlns:a16="http://schemas.microsoft.com/office/drawing/2014/main" id="{E6EA2A1E-1EAA-4615-B0E8-DC6006A8B385}"/>
            </a:ext>
          </a:extLst>
        </xdr:cNvPr>
        <xdr:cNvCxnSpPr/>
      </xdr:nvCxnSpPr>
      <xdr:spPr>
        <a:xfrm>
          <a:off x="6525647" y="2511942"/>
          <a:ext cx="31970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227536</xdr:colOff>
      <xdr:row>9</xdr:row>
      <xdr:rowOff>103478</xdr:rowOff>
    </xdr:from>
    <xdr:ext cx="312806" cy="0"/>
    <xdr:cxnSp macro="">
      <xdr:nvCxnSpPr>
        <xdr:cNvPr id="238" name="直線コネクタ 237">
          <a:extLst>
            <a:ext uri="{FF2B5EF4-FFF2-40B4-BE49-F238E27FC236}">
              <a16:creationId xmlns:a16="http://schemas.microsoft.com/office/drawing/2014/main" id="{08ED563A-7371-484A-A156-344414BF9678}"/>
            </a:ext>
          </a:extLst>
        </xdr:cNvPr>
        <xdr:cNvCxnSpPr/>
      </xdr:nvCxnSpPr>
      <xdr:spPr>
        <a:xfrm>
          <a:off x="6628336" y="2160878"/>
          <a:ext cx="312806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93855</xdr:colOff>
      <xdr:row>7</xdr:row>
      <xdr:rowOff>201175</xdr:rowOff>
    </xdr:from>
    <xdr:ext cx="310084" cy="0"/>
    <xdr:cxnSp macro="">
      <xdr:nvCxnSpPr>
        <xdr:cNvPr id="239" name="直線コネクタ 238">
          <a:extLst>
            <a:ext uri="{FF2B5EF4-FFF2-40B4-BE49-F238E27FC236}">
              <a16:creationId xmlns:a16="http://schemas.microsoft.com/office/drawing/2014/main" id="{2078A5B2-17F9-4358-AF43-260F238CE6BF}"/>
            </a:ext>
          </a:extLst>
        </xdr:cNvPr>
        <xdr:cNvCxnSpPr/>
      </xdr:nvCxnSpPr>
      <xdr:spPr>
        <a:xfrm>
          <a:off x="6723255" y="1801375"/>
          <a:ext cx="31008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197881</xdr:colOff>
      <xdr:row>6</xdr:row>
      <xdr:rowOff>59117</xdr:rowOff>
    </xdr:from>
    <xdr:ext cx="312805" cy="0"/>
    <xdr:cxnSp macro="">
      <xdr:nvCxnSpPr>
        <xdr:cNvPr id="240" name="直線コネクタ 239">
          <a:extLst>
            <a:ext uri="{FF2B5EF4-FFF2-40B4-BE49-F238E27FC236}">
              <a16:creationId xmlns:a16="http://schemas.microsoft.com/office/drawing/2014/main" id="{2198AA89-06D4-49CA-8A02-3DB3AB706A1C}"/>
            </a:ext>
          </a:extLst>
        </xdr:cNvPr>
        <xdr:cNvCxnSpPr/>
      </xdr:nvCxnSpPr>
      <xdr:spPr>
        <a:xfrm>
          <a:off x="6827281" y="1430717"/>
          <a:ext cx="31280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19786</xdr:colOff>
      <xdr:row>5</xdr:row>
      <xdr:rowOff>83201</xdr:rowOff>
    </xdr:from>
    <xdr:ext cx="426244" cy="0"/>
    <xdr:cxnSp macro="">
      <xdr:nvCxnSpPr>
        <xdr:cNvPr id="241" name="直線コネクタ 240">
          <a:extLst>
            <a:ext uri="{FF2B5EF4-FFF2-40B4-BE49-F238E27FC236}">
              <a16:creationId xmlns:a16="http://schemas.microsoft.com/office/drawing/2014/main" id="{DEE3C630-BEC2-4F9A-9B74-881C8E44ED21}"/>
            </a:ext>
          </a:extLst>
        </xdr:cNvPr>
        <xdr:cNvCxnSpPr/>
      </xdr:nvCxnSpPr>
      <xdr:spPr>
        <a:xfrm>
          <a:off x="6877786" y="1226201"/>
          <a:ext cx="426244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189173</xdr:colOff>
      <xdr:row>6</xdr:row>
      <xdr:rowOff>35155</xdr:rowOff>
    </xdr:from>
    <xdr:ext cx="37664" cy="42986"/>
    <xdr:sp macro="" textlink="">
      <xdr:nvSpPr>
        <xdr:cNvPr id="242" name="楕円 241">
          <a:extLst>
            <a:ext uri="{FF2B5EF4-FFF2-40B4-BE49-F238E27FC236}">
              <a16:creationId xmlns:a16="http://schemas.microsoft.com/office/drawing/2014/main" id="{4D70B1DD-D792-4952-8818-11FA84839734}"/>
            </a:ext>
          </a:extLst>
        </xdr:cNvPr>
        <xdr:cNvSpPr/>
      </xdr:nvSpPr>
      <xdr:spPr>
        <a:xfrm>
          <a:off x="6818573" y="1406755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28</xdr:col>
      <xdr:colOff>130307</xdr:colOff>
      <xdr:row>13</xdr:row>
      <xdr:rowOff>45809</xdr:rowOff>
    </xdr:from>
    <xdr:ext cx="37664" cy="42986"/>
    <xdr:sp macro="" textlink="">
      <xdr:nvSpPr>
        <xdr:cNvPr id="243" name="楕円 242">
          <a:extLst>
            <a:ext uri="{FF2B5EF4-FFF2-40B4-BE49-F238E27FC236}">
              <a16:creationId xmlns:a16="http://schemas.microsoft.com/office/drawing/2014/main" id="{CFEDE3B6-E6FA-4311-B3DE-D069CB35526D}"/>
            </a:ext>
          </a:extLst>
        </xdr:cNvPr>
        <xdr:cNvSpPr/>
      </xdr:nvSpPr>
      <xdr:spPr>
        <a:xfrm>
          <a:off x="6531107" y="3017609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106510</xdr:colOff>
      <xdr:row>10</xdr:row>
      <xdr:rowOff>17098</xdr:rowOff>
    </xdr:from>
    <xdr:ext cx="37664" cy="42986"/>
    <xdr:sp macro="" textlink="">
      <xdr:nvSpPr>
        <xdr:cNvPr id="247" name="楕円 246">
          <a:extLst>
            <a:ext uri="{FF2B5EF4-FFF2-40B4-BE49-F238E27FC236}">
              <a16:creationId xmlns:a16="http://schemas.microsoft.com/office/drawing/2014/main" id="{9A58231E-108B-49CC-B9CB-C83BE181DC5C}"/>
            </a:ext>
          </a:extLst>
        </xdr:cNvPr>
        <xdr:cNvSpPr/>
      </xdr:nvSpPr>
      <xdr:spPr>
        <a:xfrm>
          <a:off x="6735910" y="230309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193764</xdr:colOff>
      <xdr:row>5</xdr:row>
      <xdr:rowOff>178599</xdr:rowOff>
    </xdr:from>
    <xdr:ext cx="219223" cy="0"/>
    <xdr:cxnSp macro="">
      <xdr:nvCxnSpPr>
        <xdr:cNvPr id="249" name="直線コネクタ 248">
          <a:extLst>
            <a:ext uri="{FF2B5EF4-FFF2-40B4-BE49-F238E27FC236}">
              <a16:creationId xmlns:a16="http://schemas.microsoft.com/office/drawing/2014/main" id="{64C36590-C89D-438D-9E1A-D7AD27C3ED52}"/>
            </a:ext>
          </a:extLst>
        </xdr:cNvPr>
        <xdr:cNvCxnSpPr/>
      </xdr:nvCxnSpPr>
      <xdr:spPr>
        <a:xfrm>
          <a:off x="6823164" y="1321599"/>
          <a:ext cx="219223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185756</xdr:colOff>
      <xdr:row>5</xdr:row>
      <xdr:rowOff>139291</xdr:rowOff>
    </xdr:from>
    <xdr:ext cx="0" cy="58666"/>
    <xdr:cxnSp macro="">
      <xdr:nvCxnSpPr>
        <xdr:cNvPr id="250" name="直線コネクタ 249">
          <a:extLst>
            <a:ext uri="{FF2B5EF4-FFF2-40B4-BE49-F238E27FC236}">
              <a16:creationId xmlns:a16="http://schemas.microsoft.com/office/drawing/2014/main" id="{42FD0AEE-D275-4D3A-8F47-123801C399E9}"/>
            </a:ext>
          </a:extLst>
        </xdr:cNvPr>
        <xdr:cNvCxnSpPr/>
      </xdr:nvCxnSpPr>
      <xdr:spPr>
        <a:xfrm>
          <a:off x="7043756" y="1282291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173477</xdr:colOff>
      <xdr:row>5</xdr:row>
      <xdr:rowOff>133521</xdr:rowOff>
    </xdr:from>
    <xdr:ext cx="444352" cy="224998"/>
    <xdr:sp macro="" textlink="$BA$8">
      <xdr:nvSpPr>
        <xdr:cNvPr id="251" name="テキスト ボックス 250">
          <a:extLst>
            <a:ext uri="{FF2B5EF4-FFF2-40B4-BE49-F238E27FC236}">
              <a16:creationId xmlns:a16="http://schemas.microsoft.com/office/drawing/2014/main" id="{0F558250-4FB7-4B25-8ED6-DD1714BE8042}"/>
            </a:ext>
          </a:extLst>
        </xdr:cNvPr>
        <xdr:cNvSpPr txBox="1"/>
      </xdr:nvSpPr>
      <xdr:spPr>
        <a:xfrm>
          <a:off x="6802877" y="127652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1C63182-A036-4C94-A366-2D1753A1129D}" type="TxLink">
            <a:rPr kumimoji="1" lang="en-US" altLang="en-US" sz="900" b="0" i="0" u="none" strike="noStrike">
              <a:solidFill>
                <a:srgbClr val="FF0000"/>
              </a:solidFill>
              <a:latin typeface="Times New Roman"/>
              <a:cs typeface="Times New Roman"/>
            </a:rPr>
            <a:pPr/>
            <a:t>0.710</a:t>
          </a:fld>
          <a:endParaRPr kumimoji="1" lang="ja-JP" altLang="en-US" sz="900" i="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209673</xdr:colOff>
      <xdr:row>8</xdr:row>
      <xdr:rowOff>132905</xdr:rowOff>
    </xdr:from>
    <xdr:ext cx="37664" cy="42986"/>
    <xdr:sp macro="" textlink="">
      <xdr:nvSpPr>
        <xdr:cNvPr id="252" name="楕円 251">
          <a:extLst>
            <a:ext uri="{FF2B5EF4-FFF2-40B4-BE49-F238E27FC236}">
              <a16:creationId xmlns:a16="http://schemas.microsoft.com/office/drawing/2014/main" id="{38FF715F-33D4-4E4B-A281-866C0505D589}"/>
            </a:ext>
          </a:extLst>
        </xdr:cNvPr>
        <xdr:cNvSpPr/>
      </xdr:nvSpPr>
      <xdr:spPr>
        <a:xfrm>
          <a:off x="6839073" y="1961705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30</xdr:col>
      <xdr:colOff>169815</xdr:colOff>
      <xdr:row>5</xdr:row>
      <xdr:rowOff>95057</xdr:rowOff>
    </xdr:from>
    <xdr:ext cx="37664" cy="42986"/>
    <xdr:sp macro="" textlink="">
      <xdr:nvSpPr>
        <xdr:cNvPr id="253" name="楕円 252">
          <a:extLst>
            <a:ext uri="{FF2B5EF4-FFF2-40B4-BE49-F238E27FC236}">
              <a16:creationId xmlns:a16="http://schemas.microsoft.com/office/drawing/2014/main" id="{80EBE7A4-7A0B-406B-8112-EFAFC01FCF91}"/>
            </a:ext>
          </a:extLst>
        </xdr:cNvPr>
        <xdr:cNvSpPr/>
      </xdr:nvSpPr>
      <xdr:spPr>
        <a:xfrm>
          <a:off x="7027815" y="123805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2175</xdr:colOff>
      <xdr:row>11</xdr:row>
      <xdr:rowOff>140777</xdr:rowOff>
    </xdr:from>
    <xdr:ext cx="37664" cy="42986"/>
    <xdr:sp macro="" textlink="">
      <xdr:nvSpPr>
        <xdr:cNvPr id="254" name="楕円 253">
          <a:extLst>
            <a:ext uri="{FF2B5EF4-FFF2-40B4-BE49-F238E27FC236}">
              <a16:creationId xmlns:a16="http://schemas.microsoft.com/office/drawing/2014/main" id="{5BD18005-34AC-4673-945C-A0E6476D2F36}"/>
            </a:ext>
          </a:extLst>
        </xdr:cNvPr>
        <xdr:cNvSpPr/>
      </xdr:nvSpPr>
      <xdr:spPr>
        <a:xfrm>
          <a:off x="6631575" y="2655377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30</xdr:col>
      <xdr:colOff>91270</xdr:colOff>
      <xdr:row>6</xdr:row>
      <xdr:rowOff>219658</xdr:rowOff>
    </xdr:from>
    <xdr:ext cx="37664" cy="42986"/>
    <xdr:sp macro="" textlink="">
      <xdr:nvSpPr>
        <xdr:cNvPr id="258" name="楕円 257">
          <a:extLst>
            <a:ext uri="{FF2B5EF4-FFF2-40B4-BE49-F238E27FC236}">
              <a16:creationId xmlns:a16="http://schemas.microsoft.com/office/drawing/2014/main" id="{210F15B3-C579-4770-94CF-67FDF41065EE}"/>
            </a:ext>
          </a:extLst>
        </xdr:cNvPr>
        <xdr:cNvSpPr/>
      </xdr:nvSpPr>
      <xdr:spPr>
        <a:xfrm>
          <a:off x="6949270" y="1591258"/>
          <a:ext cx="37664" cy="42986"/>
        </a:xfrm>
        <a:prstGeom prst="ellipse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191471</xdr:colOff>
      <xdr:row>5</xdr:row>
      <xdr:rowOff>152626</xdr:rowOff>
    </xdr:from>
    <xdr:ext cx="0" cy="58666"/>
    <xdr:cxnSp macro="">
      <xdr:nvCxnSpPr>
        <xdr:cNvPr id="259" name="直線コネクタ 258">
          <a:extLst>
            <a:ext uri="{FF2B5EF4-FFF2-40B4-BE49-F238E27FC236}">
              <a16:creationId xmlns:a16="http://schemas.microsoft.com/office/drawing/2014/main" id="{74A47E51-84EA-40FB-A7DF-03A058E1F9AA}"/>
            </a:ext>
          </a:extLst>
        </xdr:cNvPr>
        <xdr:cNvCxnSpPr/>
      </xdr:nvCxnSpPr>
      <xdr:spPr>
        <a:xfrm>
          <a:off x="6820871" y="1295626"/>
          <a:ext cx="0" cy="58666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168611</xdr:colOff>
      <xdr:row>8</xdr:row>
      <xdr:rowOff>133585</xdr:rowOff>
    </xdr:from>
    <xdr:ext cx="1188001" cy="0"/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7CB4C6E-F256-484F-9E54-2239986F502A}"/>
            </a:ext>
          </a:extLst>
        </xdr:cNvPr>
        <xdr:cNvCxnSpPr/>
      </xdr:nvCxnSpPr>
      <xdr:spPr>
        <a:xfrm>
          <a:off x="6569411" y="3705460"/>
          <a:ext cx="118800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33</xdr:col>
      <xdr:colOff>219245</xdr:colOff>
      <xdr:row>7</xdr:row>
      <xdr:rowOff>84664</xdr:rowOff>
    </xdr:from>
    <xdr:ext cx="0" cy="161293"/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B37BBD0A-8EFD-409C-A711-50696A1D76FC}"/>
            </a:ext>
          </a:extLst>
        </xdr:cNvPr>
        <xdr:cNvCxnSpPr/>
      </xdr:nvCxnSpPr>
      <xdr:spPr>
        <a:xfrm>
          <a:off x="7763045" y="3418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26</xdr:col>
      <xdr:colOff>164445</xdr:colOff>
      <xdr:row>13</xdr:row>
      <xdr:rowOff>78254</xdr:rowOff>
    </xdr:from>
    <xdr:ext cx="357790" cy="285527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0D554B6-8252-46BE-8DD3-9C70AED3BEC5}"/>
            </a:ext>
          </a:extLst>
        </xdr:cNvPr>
        <xdr:cNvSpPr txBox="1"/>
      </xdr:nvSpPr>
      <xdr:spPr>
        <a:xfrm>
          <a:off x="6108045" y="4840754"/>
          <a:ext cx="357790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0</a:t>
          </a:r>
          <a:r>
            <a:rPr kumimoji="1" lang="ja-JP" altLang="en-US" sz="900" i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点</a:t>
          </a:r>
        </a:p>
      </xdr:txBody>
    </xdr:sp>
    <xdr:clientData/>
  </xdr:oneCellAnchor>
  <xdr:oneCellAnchor>
    <xdr:from>
      <xdr:col>31</xdr:col>
      <xdr:colOff>28575</xdr:colOff>
      <xdr:row>8</xdr:row>
      <xdr:rowOff>136385</xdr:rowOff>
    </xdr:from>
    <xdr:ext cx="323171" cy="1159580"/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2D9F656D-9CDB-497E-BD07-B6D76A82ACE5}"/>
            </a:ext>
          </a:extLst>
        </xdr:cNvPr>
        <xdr:cNvCxnSpPr/>
      </xdr:nvCxnSpPr>
      <xdr:spPr>
        <a:xfrm flipH="1">
          <a:off x="7115175" y="3708260"/>
          <a:ext cx="323171" cy="115958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90903</xdr:colOff>
      <xdr:row>8</xdr:row>
      <xdr:rowOff>152430</xdr:rowOff>
    </xdr:from>
    <xdr:ext cx="310517" cy="1069805"/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93564450-2C1B-4FB2-B3D5-5F23DDA99485}"/>
            </a:ext>
          </a:extLst>
        </xdr:cNvPr>
        <xdr:cNvCxnSpPr/>
      </xdr:nvCxnSpPr>
      <xdr:spPr>
        <a:xfrm flipH="1">
          <a:off x="6263103" y="3724305"/>
          <a:ext cx="310517" cy="1069805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90155</xdr:colOff>
      <xdr:row>13</xdr:row>
      <xdr:rowOff>96031</xdr:rowOff>
    </xdr:from>
    <xdr:ext cx="1176035" cy="0"/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1A259BD-D169-4A39-9369-E7F1502BFE6C}"/>
            </a:ext>
          </a:extLst>
        </xdr:cNvPr>
        <xdr:cNvCxnSpPr/>
      </xdr:nvCxnSpPr>
      <xdr:spPr>
        <a:xfrm>
          <a:off x="6262355" y="4858531"/>
          <a:ext cx="117603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181049</xdr:colOff>
      <xdr:row>7</xdr:row>
      <xdr:rowOff>84664</xdr:rowOff>
    </xdr:from>
    <xdr:ext cx="0" cy="161293"/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495C808B-CA42-4A5A-B52A-8B8F7E4D39FE}"/>
            </a:ext>
          </a:extLst>
        </xdr:cNvPr>
        <xdr:cNvCxnSpPr/>
      </xdr:nvCxnSpPr>
      <xdr:spPr>
        <a:xfrm>
          <a:off x="6581849" y="3418414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28</xdr:col>
      <xdr:colOff>190548</xdr:colOff>
      <xdr:row>7</xdr:row>
      <xdr:rowOff>117577</xdr:rowOff>
    </xdr:from>
    <xdr:ext cx="1171527" cy="0"/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1B7179CF-F445-4984-B61D-72CD1BE8500A}"/>
            </a:ext>
          </a:extLst>
        </xdr:cNvPr>
        <xdr:cNvCxnSpPr/>
      </xdr:nvCxnSpPr>
      <xdr:spPr>
        <a:xfrm>
          <a:off x="6591348" y="3451327"/>
          <a:ext cx="117152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194495</xdr:colOff>
      <xdr:row>6</xdr:row>
      <xdr:rowOff>131673</xdr:rowOff>
    </xdr:from>
    <xdr:ext cx="444352" cy="224998"/>
    <xdr:sp macro="" textlink="'4-3.部材'!$H$10">
      <xdr:nvSpPr>
        <xdr:cNvPr id="14" name="テキスト ボックス 13">
          <a:extLst>
            <a:ext uri="{FF2B5EF4-FFF2-40B4-BE49-F238E27FC236}">
              <a16:creationId xmlns:a16="http://schemas.microsoft.com/office/drawing/2014/main" id="{2CDD4DB8-0FA1-4BEA-AE07-6769491B3542}"/>
            </a:ext>
          </a:extLst>
        </xdr:cNvPr>
        <xdr:cNvSpPr txBox="1"/>
      </xdr:nvSpPr>
      <xdr:spPr>
        <a:xfrm>
          <a:off x="7052495" y="3227298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BA6C8C4-775C-4B9A-92BE-2BBE9FB696D2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29</xdr:col>
      <xdr:colOff>198529</xdr:colOff>
      <xdr:row>6</xdr:row>
      <xdr:rowOff>142875</xdr:rowOff>
    </xdr:from>
    <xdr:ext cx="336311" cy="224998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C446794A-56E9-4E6E-9CCE-7B55C4D96881}"/>
            </a:ext>
          </a:extLst>
        </xdr:cNvPr>
        <xdr:cNvSpPr txBox="1"/>
      </xdr:nvSpPr>
      <xdr:spPr>
        <a:xfrm>
          <a:off x="6827929" y="2047875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32</xdr:col>
      <xdr:colOff>147055</xdr:colOff>
      <xdr:row>8</xdr:row>
      <xdr:rowOff>158292</xdr:rowOff>
    </xdr:from>
    <xdr:ext cx="293770" cy="1054087"/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7B5F6984-15FF-47EC-A659-91206E3BBF56}"/>
            </a:ext>
          </a:extLst>
        </xdr:cNvPr>
        <xdr:cNvCxnSpPr/>
      </xdr:nvCxnSpPr>
      <xdr:spPr>
        <a:xfrm flipH="1">
          <a:off x="7462255" y="3730167"/>
          <a:ext cx="293770" cy="1054087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27</xdr:col>
      <xdr:colOff>87916</xdr:colOff>
      <xdr:row>8</xdr:row>
      <xdr:rowOff>135620</xdr:rowOff>
    </xdr:from>
    <xdr:to>
      <xdr:col>34</xdr:col>
      <xdr:colOff>0</xdr:colOff>
      <xdr:row>13</xdr:row>
      <xdr:rowOff>99016</xdr:rowOff>
    </xdr:to>
    <xdr:sp macro="" textlink="">
      <xdr:nvSpPr>
        <xdr:cNvPr id="22" name="平行四辺形 21">
          <a:extLst>
            <a:ext uri="{FF2B5EF4-FFF2-40B4-BE49-F238E27FC236}">
              <a16:creationId xmlns:a16="http://schemas.microsoft.com/office/drawing/2014/main" id="{A12A72DC-159B-43A2-B623-90A787FC5C5C}"/>
            </a:ext>
          </a:extLst>
        </xdr:cNvPr>
        <xdr:cNvSpPr/>
      </xdr:nvSpPr>
      <xdr:spPr>
        <a:xfrm>
          <a:off x="6260116" y="3707495"/>
          <a:ext cx="1512284" cy="1154021"/>
        </a:xfrm>
        <a:prstGeom prst="parallelogram">
          <a:avLst>
            <a:gd name="adj" fmla="val 28525"/>
          </a:avLst>
        </a:prstGeom>
        <a:noFill/>
        <a:ln w="190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27</xdr:col>
      <xdr:colOff>80273</xdr:colOff>
      <xdr:row>13</xdr:row>
      <xdr:rowOff>82198</xdr:rowOff>
    </xdr:from>
    <xdr:ext cx="37664" cy="42986"/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4427900A-CCB9-4028-A0C8-766E6187AF0B}"/>
            </a:ext>
          </a:extLst>
        </xdr:cNvPr>
        <xdr:cNvSpPr/>
      </xdr:nvSpPr>
      <xdr:spPr>
        <a:xfrm>
          <a:off x="6252473" y="4844698"/>
          <a:ext cx="37664" cy="42986"/>
        </a:xfrm>
        <a:prstGeom prst="ellipse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29</xdr:col>
      <xdr:colOff>177537</xdr:colOff>
      <xdr:row>7</xdr:row>
      <xdr:rowOff>155435</xdr:rowOff>
    </xdr:from>
    <xdr:ext cx="450434" cy="1616215"/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41DFE6DF-D258-05F4-6E26-144BDF6BBF54}"/>
            </a:ext>
          </a:extLst>
        </xdr:cNvPr>
        <xdr:cNvCxnSpPr/>
      </xdr:nvCxnSpPr>
      <xdr:spPr>
        <a:xfrm flipH="1">
          <a:off x="6806937" y="3489185"/>
          <a:ext cx="450434" cy="1616215"/>
        </a:xfrm>
        <a:prstGeom prst="line">
          <a:avLst/>
        </a:prstGeom>
        <a:ln w="63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twoCellAnchor editAs="oneCell">
    <xdr:from>
      <xdr:col>26</xdr:col>
      <xdr:colOff>158058</xdr:colOff>
      <xdr:row>12</xdr:row>
      <xdr:rowOff>148157</xdr:rowOff>
    </xdr:from>
    <xdr:to>
      <xdr:col>28</xdr:col>
      <xdr:colOff>41495</xdr:colOff>
      <xdr:row>14</xdr:row>
      <xdr:rowOff>45739</xdr:rowOff>
    </xdr:to>
    <xdr:sp macro="" textlink="">
      <xdr:nvSpPr>
        <xdr:cNvPr id="20" name="矢印: 環状 19">
          <a:extLst>
            <a:ext uri="{FF2B5EF4-FFF2-40B4-BE49-F238E27FC236}">
              <a16:creationId xmlns:a16="http://schemas.microsoft.com/office/drawing/2014/main" id="{60C77533-823F-7A05-7BE2-1A72D6A72D5B}"/>
            </a:ext>
          </a:extLst>
        </xdr:cNvPr>
        <xdr:cNvSpPr/>
      </xdr:nvSpPr>
      <xdr:spPr>
        <a:xfrm rot="20940662">
          <a:off x="6101658" y="4672532"/>
          <a:ext cx="340637" cy="373832"/>
        </a:xfrm>
        <a:prstGeom prst="circularArrow">
          <a:avLst>
            <a:gd name="adj1" fmla="val 9006"/>
            <a:gd name="adj2" fmla="val 1201318"/>
            <a:gd name="adj3" fmla="val 20575211"/>
            <a:gd name="adj4" fmla="val 12777058"/>
            <a:gd name="adj5" fmla="val 12447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26</xdr:col>
      <xdr:colOff>160107</xdr:colOff>
      <xdr:row>12</xdr:row>
      <xdr:rowOff>19531</xdr:rowOff>
    </xdr:from>
    <xdr:to>
      <xdr:col>28</xdr:col>
      <xdr:colOff>50701</xdr:colOff>
      <xdr:row>13</xdr:row>
      <xdr:rowOff>152881</xdr:rowOff>
    </xdr:to>
    <xdr:sp macro="" textlink="">
      <xdr:nvSpPr>
        <xdr:cNvPr id="25" name="矢印: 環状 24">
          <a:extLst>
            <a:ext uri="{FF2B5EF4-FFF2-40B4-BE49-F238E27FC236}">
              <a16:creationId xmlns:a16="http://schemas.microsoft.com/office/drawing/2014/main" id="{9AAD13E3-0FA1-CB58-D497-463D08DF982E}"/>
            </a:ext>
          </a:extLst>
        </xdr:cNvPr>
        <xdr:cNvSpPr/>
      </xdr:nvSpPr>
      <xdr:spPr>
        <a:xfrm rot="986520" flipH="1">
          <a:off x="6103707" y="4543906"/>
          <a:ext cx="347794" cy="371475"/>
        </a:xfrm>
        <a:prstGeom prst="circularArrow">
          <a:avLst>
            <a:gd name="adj1" fmla="val 9006"/>
            <a:gd name="adj2" fmla="val 1201318"/>
            <a:gd name="adj3" fmla="val 20575211"/>
            <a:gd name="adj4" fmla="val 12777058"/>
            <a:gd name="adj5" fmla="val 12447"/>
          </a:avLst>
        </a:prstGeom>
        <a:solidFill>
          <a:schemeClr val="tx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29</xdr:col>
      <xdr:colOff>112940</xdr:colOff>
      <xdr:row>10</xdr:row>
      <xdr:rowOff>187779</xdr:rowOff>
    </xdr:from>
    <xdr:to>
      <xdr:col>29</xdr:col>
      <xdr:colOff>112940</xdr:colOff>
      <xdr:row>13</xdr:row>
      <xdr:rowOff>97897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885DF19-DE51-477E-B31C-117A2171577F}"/>
            </a:ext>
          </a:extLst>
        </xdr:cNvPr>
        <xdr:cNvCxnSpPr/>
      </xdr:nvCxnSpPr>
      <xdr:spPr>
        <a:xfrm>
          <a:off x="6742340" y="4235904"/>
          <a:ext cx="0" cy="624493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29</xdr:col>
      <xdr:colOff>129270</xdr:colOff>
      <xdr:row>13</xdr:row>
      <xdr:rowOff>70683</xdr:rowOff>
    </xdr:from>
    <xdr:to>
      <xdr:col>30</xdr:col>
      <xdr:colOff>210912</xdr:colOff>
      <xdr:row>13</xdr:row>
      <xdr:rowOff>70683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F0B28E32-85DD-482D-86B1-8FE22E077A23}"/>
            </a:ext>
          </a:extLst>
        </xdr:cNvPr>
        <xdr:cNvCxnSpPr/>
      </xdr:nvCxnSpPr>
      <xdr:spPr>
        <a:xfrm flipH="1">
          <a:off x="6758670" y="4833183"/>
          <a:ext cx="310242" cy="0"/>
        </a:xfrm>
        <a:prstGeom prst="line">
          <a:avLst/>
        </a:prstGeom>
        <a:ln w="25400">
          <a:solidFill>
            <a:schemeClr val="tx1"/>
          </a:solidFill>
          <a:prstDash val="solid"/>
          <a:headEnd type="none" w="sm" len="sm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29</xdr:col>
      <xdr:colOff>115735</xdr:colOff>
      <xdr:row>13</xdr:row>
      <xdr:rowOff>139093</xdr:rowOff>
    </xdr:from>
    <xdr:ext cx="0" cy="326272"/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A69B91CC-F851-4E64-8B3D-46BBECC241DA}"/>
            </a:ext>
          </a:extLst>
        </xdr:cNvPr>
        <xdr:cNvCxnSpPr/>
      </xdr:nvCxnSpPr>
      <xdr:spPr>
        <a:xfrm>
          <a:off x="6745135" y="4901593"/>
          <a:ext cx="0" cy="326272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30</xdr:col>
      <xdr:colOff>12321</xdr:colOff>
      <xdr:row>13</xdr:row>
      <xdr:rowOff>139093</xdr:rowOff>
    </xdr:from>
    <xdr:ext cx="0" cy="326272"/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986A7C22-CA5C-FBC4-CA16-C9B326AD4DF0}"/>
            </a:ext>
          </a:extLst>
        </xdr:cNvPr>
        <xdr:cNvCxnSpPr/>
      </xdr:nvCxnSpPr>
      <xdr:spPr>
        <a:xfrm>
          <a:off x="6870321" y="4901593"/>
          <a:ext cx="0" cy="326272"/>
        </a:xfrm>
        <a:prstGeom prst="line">
          <a:avLst/>
        </a:prstGeom>
        <a:ln w="31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119791</xdr:colOff>
      <xdr:row>14</xdr:row>
      <xdr:rowOff>167924</xdr:rowOff>
    </xdr:from>
    <xdr:ext cx="129220" cy="0"/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13DB0631-B28A-4B94-B9A7-6649FB6ED4B5}"/>
            </a:ext>
          </a:extLst>
        </xdr:cNvPr>
        <xdr:cNvCxnSpPr/>
      </xdr:nvCxnSpPr>
      <xdr:spPr>
        <a:xfrm>
          <a:off x="6749191" y="5168549"/>
          <a:ext cx="129220" cy="0"/>
        </a:xfrm>
        <a:prstGeom prst="line">
          <a:avLst/>
        </a:prstGeom>
        <a:ln w="3175">
          <a:solidFill>
            <a:srgbClr val="FF0000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80970</xdr:colOff>
      <xdr:row>14</xdr:row>
      <xdr:rowOff>148007</xdr:rowOff>
    </xdr:from>
    <xdr:ext cx="264752" cy="224998"/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1EB7FF3E-F989-38FD-9AFD-39A3900AB0A3}"/>
            </a:ext>
          </a:extLst>
        </xdr:cNvPr>
        <xdr:cNvSpPr txBox="1"/>
      </xdr:nvSpPr>
      <xdr:spPr>
        <a:xfrm>
          <a:off x="6710370" y="5148632"/>
          <a:ext cx="2647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</a:t>
          </a:r>
          <a:r>
            <a:rPr kumimoji="1" lang="en-US" altLang="ja-JP" sz="900" i="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kumimoji="1" lang="ja-JP" altLang="en-US" sz="900">
            <a:solidFill>
              <a:srgbClr val="FF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108857</xdr:colOff>
      <xdr:row>11</xdr:row>
      <xdr:rowOff>193221</xdr:rowOff>
    </xdr:from>
    <xdr:ext cx="382156" cy="224998"/>
    <xdr:sp macro="" textlink="">
      <xdr:nvSpPr>
        <xdr:cNvPr id="41" name="テキスト ボックス 40">
          <a:extLst>
            <a:ext uri="{FF2B5EF4-FFF2-40B4-BE49-F238E27FC236}">
              <a16:creationId xmlns:a16="http://schemas.microsoft.com/office/drawing/2014/main" id="{ED25CF20-760E-4E0B-AF3E-4412D7804D4C}"/>
            </a:ext>
          </a:extLst>
        </xdr:cNvPr>
        <xdr:cNvSpPr txBox="1"/>
      </xdr:nvSpPr>
      <xdr:spPr>
        <a:xfrm>
          <a:off x="5823857" y="4479471"/>
          <a:ext cx="38215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M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y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190500</xdr:colOff>
      <xdr:row>9</xdr:row>
      <xdr:rowOff>234043</xdr:rowOff>
    </xdr:from>
    <xdr:ext cx="323807" cy="224998"/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839979C0-4088-1711-7A6C-6ACDA80F6290}"/>
            </a:ext>
          </a:extLst>
        </xdr:cNvPr>
        <xdr:cNvSpPr txBox="1"/>
      </xdr:nvSpPr>
      <xdr:spPr>
        <a:xfrm>
          <a:off x="6591300" y="4044043"/>
          <a:ext cx="323807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V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16330</xdr:colOff>
      <xdr:row>12</xdr:row>
      <xdr:rowOff>97972</xdr:rowOff>
    </xdr:from>
    <xdr:ext cx="335220" cy="224998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8797693B-679D-DA69-66F6-847CE5CDC5E6}"/>
            </a:ext>
          </a:extLst>
        </xdr:cNvPr>
        <xdr:cNvSpPr txBox="1"/>
      </xdr:nvSpPr>
      <xdr:spPr>
        <a:xfrm>
          <a:off x="6874330" y="4622347"/>
          <a:ext cx="335220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H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25</xdr:col>
      <xdr:colOff>97971</xdr:colOff>
      <xdr:row>12</xdr:row>
      <xdr:rowOff>161925</xdr:rowOff>
    </xdr:from>
    <xdr:ext cx="382156" cy="224998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A7545B4A-B7CC-41CB-8A4C-D5C90C2CEFCD}"/>
            </a:ext>
          </a:extLst>
        </xdr:cNvPr>
        <xdr:cNvSpPr txBox="1"/>
      </xdr:nvSpPr>
      <xdr:spPr>
        <a:xfrm>
          <a:off x="5812971" y="4686300"/>
          <a:ext cx="382156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Σ</a:t>
          </a:r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M</a:t>
          </a:r>
          <a:r>
            <a:rPr kumimoji="1" lang="en-US" altLang="ja-JP" sz="900" i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x</a:t>
          </a:r>
          <a:endParaRPr kumimoji="1" lang="ja-JP" altLang="en-US" sz="900" baseline="-250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27</xdr:col>
      <xdr:colOff>95250</xdr:colOff>
      <xdr:row>19</xdr:row>
      <xdr:rowOff>95250</xdr:rowOff>
    </xdr:from>
    <xdr:to>
      <xdr:col>32</xdr:col>
      <xdr:colOff>152400</xdr:colOff>
      <xdr:row>24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80AE227-4B73-A96F-7D4D-0B6953F34059}"/>
            </a:ext>
          </a:extLst>
        </xdr:cNvPr>
        <xdr:cNvSpPr/>
      </xdr:nvSpPr>
      <xdr:spPr>
        <a:xfrm>
          <a:off x="6267450" y="5095875"/>
          <a:ext cx="1200150" cy="1085850"/>
        </a:xfrm>
        <a:prstGeom prst="rect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32</xdr:col>
      <xdr:colOff>143045</xdr:colOff>
      <xdr:row>18</xdr:row>
      <xdr:rowOff>37039</xdr:rowOff>
    </xdr:from>
    <xdr:ext cx="0" cy="161293"/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F22A9F15-0128-96AE-F45C-399F43584A38}"/>
            </a:ext>
          </a:extLst>
        </xdr:cNvPr>
        <xdr:cNvCxnSpPr/>
      </xdr:nvCxnSpPr>
      <xdr:spPr>
        <a:xfrm>
          <a:off x="7458245" y="4799539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104849</xdr:colOff>
      <xdr:row>18</xdr:row>
      <xdr:rowOff>37039</xdr:rowOff>
    </xdr:from>
    <xdr:ext cx="0" cy="161293"/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0296DCA2-8E75-B78D-EE03-EAC1D709F999}"/>
            </a:ext>
          </a:extLst>
        </xdr:cNvPr>
        <xdr:cNvCxnSpPr/>
      </xdr:nvCxnSpPr>
      <xdr:spPr>
        <a:xfrm>
          <a:off x="6277049" y="4799539"/>
          <a:ext cx="0" cy="161293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27</xdr:col>
      <xdr:colOff>114348</xdr:colOff>
      <xdr:row>18</xdr:row>
      <xdr:rowOff>69952</xdr:rowOff>
    </xdr:from>
    <xdr:ext cx="1171527" cy="0"/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ED9CA00D-0842-5B44-8887-D94DD0B19052}"/>
            </a:ext>
          </a:extLst>
        </xdr:cNvPr>
        <xdr:cNvCxnSpPr/>
      </xdr:nvCxnSpPr>
      <xdr:spPr>
        <a:xfrm>
          <a:off x="6286548" y="4832452"/>
          <a:ext cx="1171527" cy="0"/>
        </a:xfrm>
        <a:prstGeom prst="line">
          <a:avLst/>
        </a:prstGeom>
        <a:ln w="3175">
          <a:solidFill>
            <a:schemeClr val="accent1"/>
          </a:solidFill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29</xdr:col>
      <xdr:colOff>118295</xdr:colOff>
      <xdr:row>17</xdr:row>
      <xdr:rowOff>84048</xdr:rowOff>
    </xdr:from>
    <xdr:ext cx="444352" cy="224998"/>
    <xdr:sp macro="" textlink="'4-3.部材'!$H$10">
      <xdr:nvSpPr>
        <xdr:cNvPr id="17" name="テキスト ボックス 16">
          <a:extLst>
            <a:ext uri="{FF2B5EF4-FFF2-40B4-BE49-F238E27FC236}">
              <a16:creationId xmlns:a16="http://schemas.microsoft.com/office/drawing/2014/main" id="{232469B0-F97C-EC00-6835-916EF31B0479}"/>
            </a:ext>
          </a:extLst>
        </xdr:cNvPr>
        <xdr:cNvSpPr txBox="1"/>
      </xdr:nvSpPr>
      <xdr:spPr>
        <a:xfrm>
          <a:off x="6747695" y="4608423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BA6C8C4-775C-4B9A-92BE-2BBE9FB696D2}" type="TxLink">
            <a:rPr kumimoji="1" lang="en-US" altLang="en-US" sz="900" b="0" i="0" u="none" strike="noStrike" baseline="0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1.100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28</xdr:col>
      <xdr:colOff>122329</xdr:colOff>
      <xdr:row>17</xdr:row>
      <xdr:rowOff>95250</xdr:rowOff>
    </xdr:from>
    <xdr:ext cx="336311" cy="224998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F93D4A42-F192-E903-C1B4-761D03F6DA7A}"/>
            </a:ext>
          </a:extLst>
        </xdr:cNvPr>
        <xdr:cNvSpPr txBox="1"/>
      </xdr:nvSpPr>
      <xdr:spPr>
        <a:xfrm>
          <a:off x="6523129" y="4619625"/>
          <a:ext cx="336311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900" i="1" baseline="0">
              <a:latin typeface="Times New Roman" panose="02020603050405020304" pitchFamily="18" charset="0"/>
              <a:cs typeface="Times New Roman" panose="02020603050405020304" pitchFamily="18" charset="0"/>
            </a:rPr>
            <a:t>b</a:t>
          </a:r>
          <a:r>
            <a:rPr kumimoji="1" lang="en-US" altLang="ja-JP" sz="900" i="0" baseline="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kumimoji="1" lang="en-US" altLang="ja-JP" sz="900">
              <a:latin typeface="Times New Roman" panose="02020603050405020304" pitchFamily="18" charset="0"/>
              <a:cs typeface="Times New Roman" panose="02020603050405020304" pitchFamily="18" charset="0"/>
            </a:rPr>
            <a:t>=</a:t>
          </a:r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30</xdr:col>
      <xdr:colOff>9525</xdr:colOff>
      <xdr:row>18</xdr:row>
      <xdr:rowOff>228600</xdr:rowOff>
    </xdr:from>
    <xdr:ext cx="0" cy="1362075"/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CFBC87B-AD78-468D-8001-92257A172160}"/>
            </a:ext>
          </a:extLst>
        </xdr:cNvPr>
        <xdr:cNvCxnSpPr/>
      </xdr:nvCxnSpPr>
      <xdr:spPr>
        <a:xfrm>
          <a:off x="6867525" y="4991100"/>
          <a:ext cx="0" cy="1362075"/>
        </a:xfrm>
        <a:prstGeom prst="line">
          <a:avLst/>
        </a:prstGeom>
        <a:ln w="63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oneCellAnchor>
  <xdr:oneCellAnchor>
    <xdr:from>
      <xdr:col>25</xdr:col>
      <xdr:colOff>47625</xdr:colOff>
      <xdr:row>20</xdr:row>
      <xdr:rowOff>163554</xdr:rowOff>
    </xdr:from>
    <xdr:ext cx="224998" cy="444352"/>
    <xdr:sp macro="" textlink="$R$24">
      <xdr:nvSpPr>
        <xdr:cNvPr id="30" name="テキスト ボックス 29">
          <a:extLst>
            <a:ext uri="{FF2B5EF4-FFF2-40B4-BE49-F238E27FC236}">
              <a16:creationId xmlns:a16="http://schemas.microsoft.com/office/drawing/2014/main" id="{91A12E22-D140-4C45-9A04-C5F6932D1D96}"/>
            </a:ext>
          </a:extLst>
        </xdr:cNvPr>
        <xdr:cNvSpPr txBox="1"/>
      </xdr:nvSpPr>
      <xdr:spPr>
        <a:xfrm rot="16200000">
          <a:off x="5652948" y="5511981"/>
          <a:ext cx="444352" cy="2249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4A4F9994-67D4-4EC1-8494-C8C5962FAECD}" type="TxLink">
            <a:rPr kumimoji="1" lang="en-US" altLang="en-US" sz="900" b="0" i="0" u="none" strike="noStrike">
              <a:solidFill>
                <a:srgbClr val="000000"/>
              </a:solidFill>
              <a:latin typeface="Times New Roman"/>
              <a:ea typeface="游ゴシック"/>
              <a:cs typeface="Times New Roman"/>
            </a:rPr>
            <a:pPr/>
            <a:t>1.000</a:t>
          </a:fld>
          <a:endParaRPr kumimoji="1" lang="ja-JP" altLang="en-US" sz="9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twoCellAnchor editAs="oneCell">
    <xdr:from>
      <xdr:col>25</xdr:col>
      <xdr:colOff>190500</xdr:colOff>
      <xdr:row>23</xdr:row>
      <xdr:rowOff>229838</xdr:rowOff>
    </xdr:from>
    <xdr:to>
      <xdr:col>26</xdr:col>
      <xdr:colOff>193933</xdr:colOff>
      <xdr:row>24</xdr:row>
      <xdr:rowOff>1238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D09BFF55-B35A-4E8F-9D6E-A1E08310CFC8}"/>
            </a:ext>
          </a:extLst>
        </xdr:cNvPr>
        <xdr:cNvCxnSpPr/>
      </xdr:nvCxnSpPr>
      <xdr:spPr>
        <a:xfrm>
          <a:off x="5905500" y="6182963"/>
          <a:ext cx="23203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26</xdr:col>
      <xdr:colOff>31196</xdr:colOff>
      <xdr:row>19</xdr:row>
      <xdr:rowOff>114300</xdr:rowOff>
    </xdr:from>
    <xdr:to>
      <xdr:col>26</xdr:col>
      <xdr:colOff>31196</xdr:colOff>
      <xdr:row>23</xdr:row>
      <xdr:rowOff>214354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4A36687A-2E0A-42EE-A970-AB31B60EEDA3}"/>
            </a:ext>
          </a:extLst>
        </xdr:cNvPr>
        <xdr:cNvCxnSpPr/>
      </xdr:nvCxnSpPr>
      <xdr:spPr>
        <a:xfrm>
          <a:off x="5974796" y="5114925"/>
          <a:ext cx="0" cy="1052554"/>
        </a:xfrm>
        <a:prstGeom prst="line">
          <a:avLst/>
        </a:prstGeom>
        <a:ln w="3175">
          <a:headEnd type="stealth" w="sm" len="sm"/>
          <a:tailEnd type="stealth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25</xdr:col>
      <xdr:colOff>190500</xdr:colOff>
      <xdr:row>19</xdr:row>
      <xdr:rowOff>106013</xdr:rowOff>
    </xdr:from>
    <xdr:to>
      <xdr:col>26</xdr:col>
      <xdr:colOff>193933</xdr:colOff>
      <xdr:row>19</xdr:row>
      <xdr:rowOff>106013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BDAA398-14A4-45EF-813C-3035BCEE6B97}"/>
            </a:ext>
          </a:extLst>
        </xdr:cNvPr>
        <xdr:cNvCxnSpPr/>
      </xdr:nvCxnSpPr>
      <xdr:spPr>
        <a:xfrm>
          <a:off x="5905500" y="5106638"/>
          <a:ext cx="232033" cy="0"/>
        </a:xfrm>
        <a:prstGeom prst="line">
          <a:avLst/>
        </a:prstGeom>
        <a:ln w="3175">
          <a:solidFill>
            <a:schemeClr val="accent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-note.com/youheki-ogat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25524-7302-47A3-8F77-A4B3192C8798}">
  <dimension ref="A1:BR62"/>
  <sheetViews>
    <sheetView showGridLines="0" tabSelected="1" view="pageBreakPreview" zoomScale="70" zoomScaleNormal="70" zoomScaleSheetLayoutView="70" workbookViewId="0">
      <selection activeCell="A2" sqref="A2"/>
    </sheetView>
  </sheetViews>
  <sheetFormatPr defaultRowHeight="18"/>
  <cols>
    <col min="1" max="70" width="3" customWidth="1"/>
  </cols>
  <sheetData>
    <row r="1" spans="1:70">
      <c r="A1" t="s">
        <v>381</v>
      </c>
      <c r="AA1" s="109" t="s">
        <v>121</v>
      </c>
      <c r="AK1" s="3" t="s">
        <v>491</v>
      </c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</row>
    <row r="2" spans="1:70">
      <c r="B2" t="s">
        <v>292</v>
      </c>
      <c r="AK2" s="3"/>
      <c r="AL2" s="3" t="s">
        <v>425</v>
      </c>
      <c r="AM2" s="3"/>
      <c r="AN2" s="3"/>
      <c r="BB2" s="3"/>
      <c r="BC2" s="3"/>
      <c r="BG2" s="164">
        <v>0.83499999999999996</v>
      </c>
      <c r="BH2" s="165"/>
      <c r="BI2" s="166"/>
      <c r="BJ2" s="1" t="s">
        <v>3</v>
      </c>
      <c r="BK2" s="3"/>
      <c r="BL2" s="3"/>
      <c r="BN2" s="3"/>
      <c r="BO2" s="3"/>
      <c r="BP2" s="3"/>
      <c r="BQ2" s="3"/>
      <c r="BR2" s="3"/>
    </row>
    <row r="3" spans="1:70">
      <c r="A3" t="s">
        <v>0</v>
      </c>
      <c r="AK3" s="3"/>
      <c r="AL3" s="3" t="s">
        <v>422</v>
      </c>
      <c r="AM3" s="3"/>
      <c r="AO3" s="3" t="s">
        <v>427</v>
      </c>
      <c r="AP3" s="183">
        <f>_xlfn.IFS(T13=0.3, 0.15, T13=0.4, 0.12, T13=0.5, 0.1, TRUE, "")</f>
        <v>0.12</v>
      </c>
      <c r="AQ3" s="183"/>
      <c r="AR3" s="101" t="s">
        <v>424</v>
      </c>
      <c r="AS3" s="1" t="s">
        <v>423</v>
      </c>
      <c r="AT3" s="184">
        <f>AP3*T6</f>
        <v>0.69599999999999995</v>
      </c>
      <c r="AU3" s="184"/>
      <c r="AV3" s="184"/>
      <c r="AX3" s="13"/>
      <c r="AY3" s="13"/>
      <c r="BC3" s="3"/>
      <c r="BD3" s="3" t="s">
        <v>426</v>
      </c>
      <c r="BF3" s="3" t="s">
        <v>427</v>
      </c>
      <c r="BG3" s="177">
        <f>BG2/SQRT(1+T13^2)</f>
        <v>0.77527803688919139</v>
      </c>
      <c r="BH3" s="178"/>
      <c r="BI3" s="179"/>
      <c r="BJ3" s="1" t="s">
        <v>3</v>
      </c>
      <c r="BK3" s="3" t="s">
        <v>421</v>
      </c>
      <c r="BL3" s="3"/>
      <c r="BN3" s="3"/>
      <c r="BO3" s="3"/>
      <c r="BP3" s="127" t="str">
        <f>IF(AT3&lt;=BG3, "OK", "NG")</f>
        <v>OK</v>
      </c>
      <c r="BQ3" s="129"/>
      <c r="BR3" s="3"/>
    </row>
    <row r="4" spans="1:70">
      <c r="B4" t="s">
        <v>1</v>
      </c>
      <c r="Y4" s="35"/>
      <c r="Z4" s="36"/>
      <c r="AA4" s="36"/>
      <c r="AB4" s="36"/>
      <c r="AC4" s="36"/>
      <c r="AD4" s="36"/>
      <c r="AE4" s="36"/>
      <c r="AF4" s="36"/>
      <c r="AG4" s="36"/>
      <c r="AH4" s="36"/>
      <c r="AI4" s="41"/>
      <c r="AK4" s="3"/>
      <c r="AL4" s="3" t="s">
        <v>252</v>
      </c>
      <c r="AM4" s="3"/>
      <c r="AN4" s="3"/>
      <c r="AO4" s="3" t="s">
        <v>490</v>
      </c>
      <c r="AQ4" s="3"/>
      <c r="AR4" s="3"/>
      <c r="AS4" s="3"/>
      <c r="AT4" s="3"/>
      <c r="AU4" s="3"/>
      <c r="AV4" s="3"/>
      <c r="AW4" s="3"/>
      <c r="AX4" s="3"/>
      <c r="AY4" s="3"/>
      <c r="BA4" s="3"/>
      <c r="BB4" s="3"/>
      <c r="BC4" s="3"/>
      <c r="BG4" s="177">
        <f>T6-BG5*BG6-T8</f>
        <v>0.49999999999999983</v>
      </c>
      <c r="BH4" s="178"/>
      <c r="BI4" s="179"/>
      <c r="BJ4" s="1" t="s">
        <v>3</v>
      </c>
      <c r="BK4" s="3"/>
      <c r="BL4" s="3"/>
      <c r="BN4" s="3"/>
      <c r="BO4" s="3"/>
      <c r="BP4" s="3"/>
      <c r="BQ4" s="3"/>
      <c r="BR4" s="3"/>
    </row>
    <row r="5" spans="1:70">
      <c r="C5" t="s">
        <v>242</v>
      </c>
      <c r="Q5" s="2" t="s">
        <v>35</v>
      </c>
      <c r="S5" t="s">
        <v>2</v>
      </c>
      <c r="T5" s="164">
        <v>6.1</v>
      </c>
      <c r="U5" s="165"/>
      <c r="V5" s="166"/>
      <c r="W5" s="1" t="s">
        <v>3</v>
      </c>
      <c r="Y5" s="5"/>
      <c r="AI5" s="6"/>
      <c r="AK5" s="3"/>
      <c r="AM5" s="3"/>
      <c r="AN5" s="3"/>
      <c r="AO5" s="3" t="s">
        <v>270</v>
      </c>
      <c r="AP5" s="3"/>
      <c r="AQ5" s="3"/>
      <c r="AS5" s="3"/>
      <c r="AT5" s="3"/>
      <c r="AU5" s="3"/>
      <c r="AV5" s="3"/>
      <c r="AW5" s="3"/>
      <c r="AX5" s="3"/>
      <c r="AY5" s="3"/>
      <c r="BA5" s="26"/>
      <c r="BB5" s="26"/>
      <c r="BC5" s="26"/>
      <c r="BG5" s="185">
        <v>1</v>
      </c>
      <c r="BH5" s="186"/>
      <c r="BI5" s="187"/>
      <c r="BJ5" s="1" t="s">
        <v>3</v>
      </c>
      <c r="BK5" s="3"/>
      <c r="BL5" s="3"/>
      <c r="BN5" s="3"/>
      <c r="BO5" s="3"/>
      <c r="BP5" s="3"/>
      <c r="BQ5" s="3"/>
      <c r="BR5" s="3"/>
    </row>
    <row r="6" spans="1:70">
      <c r="C6" t="s">
        <v>240</v>
      </c>
      <c r="Q6" s="2" t="s">
        <v>241</v>
      </c>
      <c r="S6" t="s">
        <v>2</v>
      </c>
      <c r="T6" s="180">
        <f>T5-T10</f>
        <v>5.8</v>
      </c>
      <c r="U6" s="181"/>
      <c r="V6" s="182"/>
      <c r="W6" s="1" t="s">
        <v>3</v>
      </c>
      <c r="Y6" s="5"/>
      <c r="AI6" s="6"/>
      <c r="AK6" s="3"/>
      <c r="AL6" s="3" t="s">
        <v>272</v>
      </c>
      <c r="AM6" s="3"/>
      <c r="AN6" s="3"/>
      <c r="AR6" s="3"/>
      <c r="AS6" s="3"/>
      <c r="AT6" s="3"/>
      <c r="AU6" s="3"/>
      <c r="AV6" s="3"/>
      <c r="AW6" s="3"/>
      <c r="AX6" s="3"/>
      <c r="AY6" s="3"/>
      <c r="BA6" s="26"/>
      <c r="BB6" s="26"/>
      <c r="BC6" s="26"/>
      <c r="BG6" s="174">
        <f>TRUNC(T6/BG5)</f>
        <v>5</v>
      </c>
      <c r="BH6" s="175"/>
      <c r="BI6" s="176"/>
      <c r="BJ6" s="65" t="s">
        <v>271</v>
      </c>
      <c r="BK6" s="3"/>
      <c r="BL6" s="3"/>
      <c r="BN6" s="3"/>
      <c r="BO6" s="3"/>
      <c r="BP6" s="3"/>
      <c r="BQ6" s="3"/>
      <c r="BR6" s="3"/>
    </row>
    <row r="7" spans="1:70">
      <c r="C7" t="s">
        <v>4</v>
      </c>
      <c r="Q7" s="2" t="s">
        <v>238</v>
      </c>
      <c r="S7" t="s">
        <v>2</v>
      </c>
      <c r="T7" s="164">
        <v>1.1000000000000001</v>
      </c>
      <c r="U7" s="165"/>
      <c r="V7" s="166"/>
      <c r="W7" s="1" t="s">
        <v>3</v>
      </c>
      <c r="Y7" s="5"/>
      <c r="AI7" s="6"/>
      <c r="AK7" s="3"/>
      <c r="AL7" s="3" t="s">
        <v>253</v>
      </c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BA7" s="26"/>
      <c r="BB7" s="26"/>
      <c r="BC7" s="26"/>
      <c r="BG7" s="188">
        <f>T7-BG2</f>
        <v>0.26500000000000012</v>
      </c>
      <c r="BH7" s="189"/>
      <c r="BI7" s="190"/>
      <c r="BJ7" s="25" t="s">
        <v>3</v>
      </c>
      <c r="BK7" s="3"/>
      <c r="BL7" s="3"/>
      <c r="BN7" s="3"/>
      <c r="BO7" s="3"/>
      <c r="BP7" s="3"/>
      <c r="BQ7" s="3"/>
      <c r="BR7" s="3"/>
    </row>
    <row r="8" spans="1:70">
      <c r="C8" t="s">
        <v>239</v>
      </c>
      <c r="Q8" s="2" t="s">
        <v>244</v>
      </c>
      <c r="S8" t="s">
        <v>2</v>
      </c>
      <c r="T8" s="164">
        <v>0.3</v>
      </c>
      <c r="U8" s="165"/>
      <c r="V8" s="166"/>
      <c r="W8" s="1" t="s">
        <v>3</v>
      </c>
      <c r="Y8" s="5"/>
      <c r="AI8" s="6"/>
      <c r="AK8" s="3"/>
      <c r="AL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BA8" s="26"/>
      <c r="BB8" s="26"/>
      <c r="BC8" s="26"/>
      <c r="BG8" s="3"/>
      <c r="BH8" s="3"/>
      <c r="BI8" s="3"/>
      <c r="BK8" s="3"/>
      <c r="BL8" s="3"/>
      <c r="BN8" s="3"/>
      <c r="BO8" s="3"/>
      <c r="BP8" s="3"/>
      <c r="BR8" s="3"/>
    </row>
    <row r="9" spans="1:70">
      <c r="C9" t="s">
        <v>290</v>
      </c>
      <c r="Q9" s="2" t="s">
        <v>36</v>
      </c>
      <c r="S9" t="s">
        <v>2</v>
      </c>
      <c r="T9" s="164">
        <v>1.3</v>
      </c>
      <c r="U9" s="165"/>
      <c r="V9" s="166"/>
      <c r="W9" s="1" t="s">
        <v>3</v>
      </c>
      <c r="Y9" s="194"/>
      <c r="Z9" s="195"/>
      <c r="AA9" s="195"/>
      <c r="AI9" s="6"/>
      <c r="AK9" s="3" t="s">
        <v>126</v>
      </c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BA9" s="3"/>
      <c r="BB9" s="3"/>
      <c r="BC9" s="3"/>
      <c r="BG9" s="3"/>
      <c r="BH9" s="3"/>
      <c r="BI9" s="3"/>
      <c r="BK9" s="3"/>
      <c r="BL9" s="3"/>
      <c r="BN9" s="3"/>
      <c r="BO9" s="3"/>
      <c r="BP9" s="3"/>
      <c r="BR9" s="3"/>
    </row>
    <row r="10" spans="1:70">
      <c r="C10" t="s">
        <v>291</v>
      </c>
      <c r="Q10" s="2" t="s">
        <v>243</v>
      </c>
      <c r="S10" t="s">
        <v>2</v>
      </c>
      <c r="T10" s="164">
        <v>0.3</v>
      </c>
      <c r="U10" s="165"/>
      <c r="V10" s="166"/>
      <c r="W10" s="1" t="s">
        <v>3</v>
      </c>
      <c r="Y10" s="5"/>
      <c r="AI10" s="6"/>
      <c r="AK10" s="3"/>
      <c r="AL10" s="3" t="s">
        <v>127</v>
      </c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BA10" s="3"/>
      <c r="BB10" s="3"/>
      <c r="BC10" s="3"/>
      <c r="BG10" s="161" t="s">
        <v>414</v>
      </c>
      <c r="BH10" s="162"/>
      <c r="BI10" s="163"/>
      <c r="BK10" s="3" t="s">
        <v>128</v>
      </c>
      <c r="BL10" s="3"/>
      <c r="BN10" s="3"/>
      <c r="BO10" s="3"/>
      <c r="BP10" s="3"/>
      <c r="BQ10" s="3"/>
      <c r="BR10" s="3"/>
    </row>
    <row r="11" spans="1:70">
      <c r="C11" t="s">
        <v>293</v>
      </c>
      <c r="Q11" s="2" t="s">
        <v>294</v>
      </c>
      <c r="S11" t="s">
        <v>2</v>
      </c>
      <c r="T11" s="164">
        <v>0.1</v>
      </c>
      <c r="U11" s="165"/>
      <c r="V11" s="166"/>
      <c r="W11" s="1" t="s">
        <v>3</v>
      </c>
      <c r="Y11" s="5"/>
      <c r="AI11" s="6"/>
      <c r="AK11" s="3"/>
      <c r="AL11" s="3"/>
      <c r="AM11" s="3" t="s">
        <v>129</v>
      </c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BA11" s="3"/>
      <c r="BB11" s="3"/>
      <c r="BC11" s="3"/>
      <c r="BG11" s="191" t="s">
        <v>130</v>
      </c>
      <c r="BH11" s="192"/>
      <c r="BI11" s="193"/>
      <c r="BK11" s="3" t="s">
        <v>131</v>
      </c>
      <c r="BL11" s="3"/>
      <c r="BN11" s="3"/>
      <c r="BO11" s="3"/>
      <c r="BP11" s="3"/>
      <c r="BQ11" s="3"/>
    </row>
    <row r="12" spans="1:70">
      <c r="C12" t="s">
        <v>298</v>
      </c>
      <c r="Q12" s="2" t="s">
        <v>299</v>
      </c>
      <c r="S12" t="s">
        <v>2</v>
      </c>
      <c r="T12" s="164">
        <v>0.1</v>
      </c>
      <c r="U12" s="165"/>
      <c r="V12" s="166"/>
      <c r="W12" s="1" t="s">
        <v>3</v>
      </c>
      <c r="Y12" s="5"/>
      <c r="AI12" s="6"/>
      <c r="AK12" s="3"/>
      <c r="AL12" s="3"/>
      <c r="AM12" s="3" t="s">
        <v>132</v>
      </c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BA12" s="3"/>
      <c r="BB12" s="3"/>
      <c r="BC12" s="3"/>
      <c r="BG12" s="191" t="s">
        <v>130</v>
      </c>
      <c r="BH12" s="192"/>
      <c r="BI12" s="193"/>
      <c r="BK12" s="3"/>
      <c r="BL12" s="3"/>
      <c r="BN12" s="3"/>
      <c r="BO12" s="3"/>
      <c r="BP12" s="3"/>
      <c r="BQ12" s="3"/>
    </row>
    <row r="13" spans="1:70">
      <c r="C13" t="s">
        <v>237</v>
      </c>
      <c r="E13" s="3" t="s">
        <v>489</v>
      </c>
      <c r="O13">
        <v>1</v>
      </c>
      <c r="P13" t="s">
        <v>6</v>
      </c>
      <c r="Q13" s="2" t="s">
        <v>246</v>
      </c>
      <c r="T13" s="171">
        <f>_xlfn.IFS(T6&gt;7, 0.5, T6&gt;5, 0.4, TRUE, 0.3)</f>
        <v>0.4</v>
      </c>
      <c r="U13" s="172"/>
      <c r="V13" s="173"/>
      <c r="Y13" s="5"/>
      <c r="AI13" s="6"/>
      <c r="AK13" s="3"/>
      <c r="AL13" s="3"/>
      <c r="AM13" s="3" t="s">
        <v>133</v>
      </c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BA13" s="3"/>
      <c r="BB13" s="3"/>
      <c r="BC13" s="3"/>
      <c r="BG13" s="191" t="s">
        <v>134</v>
      </c>
      <c r="BH13" s="192"/>
      <c r="BI13" s="193"/>
      <c r="BK13" s="3"/>
      <c r="BL13" s="3"/>
      <c r="BN13" s="3"/>
      <c r="BO13" s="3"/>
      <c r="BP13" s="3"/>
      <c r="BQ13" s="3"/>
    </row>
    <row r="14" spans="1:70">
      <c r="C14" t="s">
        <v>157</v>
      </c>
      <c r="Q14" s="2" t="s">
        <v>158</v>
      </c>
      <c r="S14" t="s">
        <v>2</v>
      </c>
      <c r="T14" s="154">
        <v>10</v>
      </c>
      <c r="U14" s="155"/>
      <c r="V14" s="156"/>
      <c r="W14" s="1" t="s">
        <v>3</v>
      </c>
      <c r="Y14" s="5"/>
      <c r="AI14" s="6"/>
      <c r="AK14" s="3"/>
      <c r="AL14" s="3"/>
      <c r="AM14" s="3" t="s">
        <v>135</v>
      </c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BA14" s="3"/>
      <c r="BB14" s="3"/>
      <c r="BC14" s="3"/>
      <c r="BG14" s="161" t="s">
        <v>415</v>
      </c>
      <c r="BH14" s="162"/>
      <c r="BI14" s="163"/>
      <c r="BK14" s="3"/>
      <c r="BL14" s="3"/>
      <c r="BN14" s="3"/>
      <c r="BO14" s="3"/>
      <c r="BP14" s="3"/>
      <c r="BQ14" s="3"/>
      <c r="BR14" s="3"/>
    </row>
    <row r="15" spans="1:70">
      <c r="Y15" s="5"/>
      <c r="AI15" s="6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BA15" s="3"/>
      <c r="BB15" s="3"/>
      <c r="BC15" s="3"/>
      <c r="BG15" s="3"/>
      <c r="BH15" s="3"/>
      <c r="BI15" s="3"/>
      <c r="BK15" s="3"/>
      <c r="BL15" s="3"/>
      <c r="BN15" s="3"/>
      <c r="BO15" s="3"/>
      <c r="BP15" s="3"/>
      <c r="BQ15" s="3"/>
      <c r="BR15" s="3"/>
    </row>
    <row r="16" spans="1:70">
      <c r="B16" t="s">
        <v>7</v>
      </c>
      <c r="T16" s="1"/>
      <c r="U16" s="1"/>
      <c r="V16" s="1"/>
      <c r="W16" s="1"/>
      <c r="Y16" s="5"/>
      <c r="AI16" s="6"/>
      <c r="AK16" s="3" t="s">
        <v>136</v>
      </c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BA16" s="3"/>
      <c r="BB16" s="3"/>
      <c r="BC16" s="3"/>
      <c r="BG16" s="3"/>
      <c r="BH16" s="3"/>
      <c r="BI16" s="3"/>
      <c r="BK16" s="3"/>
      <c r="BL16" s="3"/>
      <c r="BN16" s="3"/>
      <c r="BO16" s="3"/>
      <c r="BQ16" s="3"/>
      <c r="BR16" s="3"/>
    </row>
    <row r="17" spans="2:70">
      <c r="C17" t="s">
        <v>8</v>
      </c>
      <c r="Q17" s="2" t="s">
        <v>9</v>
      </c>
      <c r="S17" t="s">
        <v>2</v>
      </c>
      <c r="T17" s="154">
        <v>18</v>
      </c>
      <c r="U17" s="155"/>
      <c r="V17" s="156"/>
      <c r="W17" s="1" t="s">
        <v>245</v>
      </c>
      <c r="Y17" s="7"/>
      <c r="Z17" s="10"/>
      <c r="AA17" s="10"/>
      <c r="AB17" s="10"/>
      <c r="AC17" s="10"/>
      <c r="AD17" s="10"/>
      <c r="AE17" s="10"/>
      <c r="AF17" s="10"/>
      <c r="AG17" s="10"/>
      <c r="AH17" s="10"/>
      <c r="AI17" s="8"/>
      <c r="AL17" t="s">
        <v>137</v>
      </c>
      <c r="BG17" s="161" t="s">
        <v>416</v>
      </c>
      <c r="BH17" s="162"/>
      <c r="BI17" s="163"/>
      <c r="BK17" s="3" t="s">
        <v>138</v>
      </c>
      <c r="BQ17" s="3"/>
      <c r="BR17" s="3"/>
    </row>
    <row r="18" spans="2:70">
      <c r="C18" t="s">
        <v>11</v>
      </c>
      <c r="Q18" s="17" t="s">
        <v>85</v>
      </c>
      <c r="S18" t="s">
        <v>2</v>
      </c>
      <c r="T18" s="154">
        <v>23</v>
      </c>
      <c r="U18" s="155"/>
      <c r="V18" s="156"/>
      <c r="W18" s="1" t="s">
        <v>12</v>
      </c>
      <c r="AL18" t="s">
        <v>139</v>
      </c>
      <c r="AO18" t="s">
        <v>434</v>
      </c>
      <c r="BQ18" s="3"/>
      <c r="BR18" s="3"/>
    </row>
    <row r="19" spans="2:70">
      <c r="C19" s="3" t="s">
        <v>429</v>
      </c>
      <c r="M19" s="116" t="s">
        <v>428</v>
      </c>
      <c r="N19" s="117"/>
      <c r="O19" s="130">
        <v>4</v>
      </c>
      <c r="P19" s="131"/>
      <c r="S19" t="s">
        <v>2</v>
      </c>
      <c r="T19" s="134">
        <f>T17/O19</f>
        <v>4.5</v>
      </c>
      <c r="U19" s="135"/>
      <c r="V19" s="136"/>
      <c r="W19" s="1" t="s">
        <v>245</v>
      </c>
      <c r="AC19" s="3" t="s">
        <v>399</v>
      </c>
      <c r="AP19" t="s">
        <v>435</v>
      </c>
      <c r="BP19" s="3"/>
      <c r="BQ19" s="3"/>
      <c r="BR19" s="3"/>
    </row>
    <row r="20" spans="2:70">
      <c r="C20" s="3" t="s">
        <v>430</v>
      </c>
      <c r="M20" s="116" t="s">
        <v>428</v>
      </c>
      <c r="N20" s="117"/>
      <c r="O20" s="130">
        <v>80</v>
      </c>
      <c r="P20" s="131"/>
      <c r="S20" t="s">
        <v>2</v>
      </c>
      <c r="T20" s="134">
        <f>T17/O20</f>
        <v>0.22500000000000001</v>
      </c>
      <c r="U20" s="135"/>
      <c r="V20" s="136"/>
      <c r="W20" s="1" t="s">
        <v>245</v>
      </c>
      <c r="AC20" s="3" t="s">
        <v>232</v>
      </c>
      <c r="AK20" s="3"/>
      <c r="AL20" s="3"/>
      <c r="AM20" s="3"/>
      <c r="AO20" s="3"/>
      <c r="AP20" s="3"/>
      <c r="AR20" s="3" t="s">
        <v>140</v>
      </c>
      <c r="AT20" s="3"/>
      <c r="AU20" s="3"/>
      <c r="AV20" s="3"/>
      <c r="AW20" s="3"/>
      <c r="AX20" s="3"/>
      <c r="AY20" s="3"/>
      <c r="BA20" s="3"/>
      <c r="BB20" s="3"/>
      <c r="BC20" s="3"/>
      <c r="BG20" s="161" t="s">
        <v>141</v>
      </c>
      <c r="BH20" s="162"/>
      <c r="BI20" s="163"/>
      <c r="BK20" s="3"/>
      <c r="BL20" s="3"/>
      <c r="BN20" s="3"/>
      <c r="BO20" s="3"/>
      <c r="BP20" s="3"/>
      <c r="BQ20" s="3"/>
      <c r="BR20" s="3"/>
    </row>
    <row r="21" spans="2:70">
      <c r="C21" s="3" t="s">
        <v>431</v>
      </c>
      <c r="M21" s="116" t="s">
        <v>428</v>
      </c>
      <c r="N21" s="117"/>
      <c r="O21" s="130">
        <v>100</v>
      </c>
      <c r="P21" s="131"/>
      <c r="Q21" s="132" t="s">
        <v>233</v>
      </c>
      <c r="R21" s="133"/>
      <c r="S21" t="s">
        <v>2</v>
      </c>
      <c r="T21" s="137">
        <f>T17/O21+0.15</f>
        <v>0.32999999999999996</v>
      </c>
      <c r="U21" s="138"/>
      <c r="V21" s="139"/>
      <c r="W21" s="1" t="s">
        <v>245</v>
      </c>
      <c r="AC21" s="3" t="s">
        <v>234</v>
      </c>
      <c r="AK21" s="3"/>
      <c r="AL21" s="3"/>
      <c r="AM21" s="3"/>
      <c r="AO21" s="3"/>
      <c r="AP21" s="3"/>
      <c r="AR21" s="3" t="s">
        <v>142</v>
      </c>
      <c r="AT21" s="3"/>
      <c r="AU21" s="3"/>
      <c r="AV21" s="3"/>
      <c r="AW21" s="3"/>
      <c r="AX21" s="3"/>
      <c r="AY21" s="3"/>
      <c r="BA21" s="3"/>
      <c r="BB21" s="3"/>
      <c r="BC21" s="3"/>
      <c r="BG21" s="161" t="s">
        <v>143</v>
      </c>
      <c r="BH21" s="162"/>
      <c r="BI21" s="163"/>
      <c r="BK21" s="3" t="s">
        <v>144</v>
      </c>
      <c r="BL21" s="3"/>
      <c r="BN21" s="3"/>
      <c r="BO21" s="3"/>
      <c r="BP21" s="3"/>
      <c r="BQ21" s="3"/>
      <c r="BR21" s="3"/>
    </row>
    <row r="22" spans="2:70">
      <c r="AK22" s="3"/>
      <c r="AL22" s="3"/>
      <c r="AM22" s="3"/>
      <c r="AO22" s="3"/>
      <c r="AP22" s="3"/>
      <c r="AR22" s="3" t="s">
        <v>145</v>
      </c>
      <c r="AT22" s="3"/>
      <c r="AU22" s="3"/>
      <c r="AV22" s="3"/>
      <c r="AW22" s="3"/>
      <c r="AX22" s="3"/>
      <c r="AY22" s="3"/>
      <c r="BA22" s="3"/>
      <c r="BB22" s="3"/>
      <c r="BC22" s="3"/>
      <c r="BG22" s="161" t="s">
        <v>417</v>
      </c>
      <c r="BH22" s="162"/>
      <c r="BI22" s="163"/>
      <c r="BK22" s="3" t="s">
        <v>146</v>
      </c>
      <c r="BL22" s="3"/>
      <c r="BN22" s="3"/>
      <c r="BO22" s="3"/>
      <c r="BP22" s="3"/>
      <c r="BQ22" s="3"/>
      <c r="BR22" s="3"/>
    </row>
    <row r="23" spans="2:70">
      <c r="B23" t="s">
        <v>13</v>
      </c>
      <c r="W23" s="1"/>
      <c r="AK23" s="3"/>
      <c r="AL23" s="3"/>
      <c r="AM23" s="3"/>
      <c r="AO23" s="3"/>
      <c r="AP23" s="3"/>
      <c r="AR23" s="3" t="s">
        <v>147</v>
      </c>
      <c r="AT23" s="3"/>
      <c r="AU23" s="3"/>
      <c r="AV23" s="3"/>
      <c r="AW23" s="3"/>
      <c r="AX23" s="3"/>
      <c r="AY23" s="3"/>
      <c r="BA23" s="3"/>
      <c r="BB23" s="3"/>
      <c r="BC23" s="3"/>
      <c r="BG23" s="161" t="s">
        <v>417</v>
      </c>
      <c r="BH23" s="162"/>
      <c r="BI23" s="163"/>
      <c r="BK23" s="3" t="s">
        <v>146</v>
      </c>
      <c r="BL23" s="3"/>
      <c r="BN23" s="3"/>
      <c r="BO23" s="3"/>
      <c r="BP23" s="3"/>
      <c r="BR23" s="3"/>
    </row>
    <row r="24" spans="2:70">
      <c r="C24" t="s">
        <v>14</v>
      </c>
      <c r="T24" s="168" t="s">
        <v>235</v>
      </c>
      <c r="U24" s="169"/>
      <c r="V24" s="170"/>
      <c r="AK24" s="3"/>
      <c r="AL24" s="3"/>
      <c r="AM24" s="3"/>
      <c r="AN24" s="3"/>
      <c r="AO24" s="3"/>
      <c r="AP24" s="3" t="s">
        <v>436</v>
      </c>
      <c r="AR24" s="3"/>
      <c r="AS24" s="3"/>
      <c r="AT24" s="3"/>
      <c r="AU24" s="3"/>
      <c r="AV24" s="3"/>
      <c r="AW24" s="3"/>
      <c r="AX24" s="3"/>
      <c r="AY24" s="3"/>
      <c r="BA24" s="3"/>
      <c r="BB24" s="3"/>
      <c r="BC24" s="3"/>
      <c r="BG24" s="161" t="s">
        <v>143</v>
      </c>
      <c r="BH24" s="162"/>
      <c r="BI24" s="163"/>
      <c r="BK24" s="3" t="s">
        <v>148</v>
      </c>
      <c r="BL24" s="3"/>
      <c r="BN24" s="3"/>
      <c r="BO24" s="3"/>
      <c r="BP24" s="3"/>
      <c r="BR24" s="3"/>
    </row>
    <row r="25" spans="2:70">
      <c r="C25" t="s">
        <v>15</v>
      </c>
      <c r="Q25" s="17" t="s">
        <v>16</v>
      </c>
      <c r="S25" t="s">
        <v>2</v>
      </c>
      <c r="T25" s="154">
        <v>35</v>
      </c>
      <c r="U25" s="155"/>
      <c r="V25" s="156"/>
      <c r="W25" s="1" t="s">
        <v>18</v>
      </c>
      <c r="AC25" s="3" t="s">
        <v>122</v>
      </c>
      <c r="AK25" s="3"/>
      <c r="AL25" s="3"/>
      <c r="AM25" s="3"/>
      <c r="AN25" s="3"/>
      <c r="AO25" s="3" t="s">
        <v>509</v>
      </c>
      <c r="AQ25" s="3"/>
      <c r="AR25" s="3"/>
      <c r="AS25" s="3"/>
      <c r="AT25" s="3"/>
      <c r="AU25" s="3"/>
      <c r="AV25" s="3"/>
      <c r="AW25" s="3"/>
      <c r="AX25" s="3"/>
      <c r="AY25" s="3"/>
      <c r="BB25" s="3"/>
      <c r="BC25" s="3"/>
      <c r="BD25" s="167"/>
      <c r="BE25" s="167"/>
      <c r="BF25" s="167"/>
      <c r="BG25" s="161" t="s">
        <v>141</v>
      </c>
      <c r="BH25" s="162"/>
      <c r="BI25" s="163"/>
      <c r="BK25" s="3" t="s">
        <v>492</v>
      </c>
      <c r="BL25" s="3"/>
      <c r="BN25" s="3"/>
      <c r="BO25" s="3"/>
      <c r="BP25" s="3"/>
      <c r="BR25" s="3"/>
    </row>
    <row r="26" spans="2:70">
      <c r="C26" t="s">
        <v>11</v>
      </c>
      <c r="Q26" s="17" t="s">
        <v>17</v>
      </c>
      <c r="S26" t="s">
        <v>2</v>
      </c>
      <c r="T26" s="154">
        <v>19</v>
      </c>
      <c r="U26" s="155"/>
      <c r="V26" s="156"/>
      <c r="W26" s="1" t="s">
        <v>12</v>
      </c>
      <c r="AC26" s="3" t="s">
        <v>122</v>
      </c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BA26" s="3"/>
      <c r="BB26" s="3"/>
      <c r="BC26" s="3"/>
      <c r="BD26" s="3"/>
      <c r="BE26" s="3"/>
      <c r="BF26" s="3"/>
      <c r="BG26" s="3"/>
      <c r="BH26" s="3"/>
      <c r="BI26" s="3"/>
      <c r="BK26" s="3"/>
      <c r="BL26" s="3"/>
      <c r="BN26" s="3"/>
      <c r="BO26" s="3"/>
      <c r="BP26" s="3"/>
      <c r="BQ26" s="3"/>
      <c r="BR26" s="3"/>
    </row>
    <row r="27" spans="2:70">
      <c r="C27" t="s">
        <v>19</v>
      </c>
      <c r="Q27" s="2" t="s">
        <v>5</v>
      </c>
      <c r="S27" t="s">
        <v>2</v>
      </c>
      <c r="T27" s="154">
        <v>0</v>
      </c>
      <c r="U27" s="155"/>
      <c r="V27" s="156"/>
      <c r="W27" s="1" t="s">
        <v>10</v>
      </c>
      <c r="AC27" s="3" t="s">
        <v>122</v>
      </c>
      <c r="AK27" s="3" t="s">
        <v>149</v>
      </c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L27" s="3"/>
      <c r="BN27" s="3"/>
      <c r="BO27" s="3"/>
      <c r="BP27" s="3"/>
      <c r="BQ27" s="3"/>
      <c r="BR27" s="3"/>
    </row>
    <row r="28" spans="2:70">
      <c r="T28" s="2"/>
      <c r="W28" s="59"/>
      <c r="AK28" s="3"/>
      <c r="AL28" s="3"/>
      <c r="AM28" s="3"/>
      <c r="AN28" s="3"/>
      <c r="AO28" s="3"/>
      <c r="AP28" s="127" t="s">
        <v>151</v>
      </c>
      <c r="AQ28" s="128"/>
      <c r="AR28" s="128"/>
      <c r="AS28" s="129"/>
      <c r="AT28" s="127" t="s">
        <v>152</v>
      </c>
      <c r="AU28" s="128"/>
      <c r="AV28" s="128"/>
      <c r="AW28" s="129"/>
      <c r="AX28" s="127" t="s">
        <v>153</v>
      </c>
      <c r="AY28" s="128"/>
      <c r="AZ28" s="128"/>
      <c r="BA28" s="129"/>
      <c r="BB28" s="3"/>
      <c r="BC28" s="3"/>
      <c r="BD28" s="3"/>
      <c r="BE28" s="3"/>
      <c r="BF28" s="3"/>
      <c r="BG28" s="3"/>
      <c r="BH28" s="3"/>
      <c r="BI28" s="3"/>
      <c r="BK28" s="3" t="s">
        <v>150</v>
      </c>
      <c r="BL28" s="3"/>
      <c r="BN28" s="3"/>
      <c r="BO28" s="3"/>
      <c r="BP28" s="3"/>
      <c r="BQ28" s="3"/>
    </row>
    <row r="29" spans="2:70">
      <c r="B29" t="s">
        <v>236</v>
      </c>
      <c r="AK29" s="3"/>
      <c r="AL29" s="127" t="s">
        <v>493</v>
      </c>
      <c r="AM29" s="128"/>
      <c r="AN29" s="128"/>
      <c r="AO29" s="129"/>
      <c r="AP29" s="124" t="s">
        <v>154</v>
      </c>
      <c r="AQ29" s="125"/>
      <c r="AR29" s="125"/>
      <c r="AS29" s="126"/>
      <c r="AT29" s="124" t="s">
        <v>154</v>
      </c>
      <c r="AU29" s="125"/>
      <c r="AV29" s="125"/>
      <c r="AW29" s="126"/>
      <c r="AX29" s="124" t="s">
        <v>154</v>
      </c>
      <c r="AY29" s="125"/>
      <c r="AZ29" s="125"/>
      <c r="BA29" s="126"/>
      <c r="BB29" s="3"/>
      <c r="BC29" s="3"/>
      <c r="BD29" s="3"/>
      <c r="BE29" s="3"/>
      <c r="BF29" s="3"/>
      <c r="BG29" s="3"/>
      <c r="BH29" s="3"/>
      <c r="BI29" s="3"/>
      <c r="BK29" s="3"/>
      <c r="BL29" s="3"/>
      <c r="BN29" s="3"/>
      <c r="BO29" s="3"/>
    </row>
    <row r="30" spans="2:70">
      <c r="C30" t="s">
        <v>432</v>
      </c>
      <c r="T30" s="118" t="s">
        <v>450</v>
      </c>
      <c r="U30" s="119"/>
      <c r="V30" s="119"/>
      <c r="W30" s="119"/>
      <c r="X30" s="119"/>
      <c r="Y30" s="120"/>
    </row>
    <row r="31" spans="2:70">
      <c r="B31" s="3"/>
      <c r="C31" s="3" t="s">
        <v>20</v>
      </c>
      <c r="D31" s="3"/>
      <c r="E31" s="3"/>
      <c r="Q31" s="17" t="s">
        <v>23</v>
      </c>
      <c r="S31" t="s">
        <v>2</v>
      </c>
      <c r="T31" s="158">
        <v>0.6</v>
      </c>
      <c r="U31" s="159"/>
      <c r="V31" s="160"/>
      <c r="AC31" s="3" t="s">
        <v>123</v>
      </c>
      <c r="AK31" t="s">
        <v>488</v>
      </c>
    </row>
    <row r="32" spans="2:70">
      <c r="B32" s="3"/>
      <c r="C32" s="3" t="s">
        <v>21</v>
      </c>
      <c r="D32" s="3"/>
      <c r="E32" s="3"/>
      <c r="Q32" s="2" t="s">
        <v>433</v>
      </c>
      <c r="S32" t="s">
        <v>2</v>
      </c>
      <c r="T32" s="154">
        <v>0</v>
      </c>
      <c r="U32" s="155"/>
      <c r="V32" s="156"/>
      <c r="W32" s="1" t="s">
        <v>10</v>
      </c>
      <c r="AC32" s="3" t="s">
        <v>123</v>
      </c>
      <c r="AI32" s="3"/>
      <c r="AT32" s="121" t="s">
        <v>30</v>
      </c>
      <c r="AU32" s="122"/>
      <c r="AV32" s="122"/>
      <c r="AW32" s="122"/>
      <c r="AX32" s="122"/>
      <c r="AY32" s="123"/>
      <c r="AZ32" s="3"/>
      <c r="BA32" s="3"/>
      <c r="BB32" s="3"/>
      <c r="BC32" s="3"/>
      <c r="BD32" s="3"/>
      <c r="BE32" s="3"/>
    </row>
    <row r="33" spans="1:70">
      <c r="B33" s="3"/>
      <c r="C33" s="3" t="s">
        <v>22</v>
      </c>
      <c r="D33" s="3"/>
      <c r="E33" s="3"/>
      <c r="Q33" s="1" t="s">
        <v>24</v>
      </c>
      <c r="S33" t="s">
        <v>2</v>
      </c>
      <c r="T33" s="154">
        <v>300</v>
      </c>
      <c r="U33" s="155"/>
      <c r="V33" s="156"/>
      <c r="W33" s="1" t="s">
        <v>10</v>
      </c>
      <c r="AC33" s="3" t="s">
        <v>124</v>
      </c>
      <c r="AG33" s="3"/>
      <c r="AH33" s="3"/>
      <c r="AI33" s="3"/>
      <c r="AJ33" s="3"/>
      <c r="AL33" s="121" t="s">
        <v>31</v>
      </c>
      <c r="AM33" s="122"/>
      <c r="AN33" s="122"/>
      <c r="AO33" s="122"/>
      <c r="AP33" s="122"/>
      <c r="AQ33" s="122"/>
      <c r="AR33" s="122"/>
      <c r="AS33" s="123"/>
      <c r="AT33" s="152" t="s">
        <v>161</v>
      </c>
      <c r="AU33" s="153"/>
      <c r="AV33" s="153"/>
      <c r="AW33" s="153"/>
      <c r="AX33" s="148">
        <v>2</v>
      </c>
      <c r="AY33" s="149"/>
      <c r="AZ33" s="3"/>
      <c r="BA33" s="3"/>
      <c r="BB33" s="3"/>
      <c r="BC33" s="3"/>
      <c r="BD33" s="3"/>
      <c r="BE33" s="3"/>
      <c r="BJ33" s="3"/>
      <c r="BK33" s="3" t="s">
        <v>418</v>
      </c>
      <c r="BM33" s="3"/>
    </row>
    <row r="34" spans="1:70">
      <c r="C34" s="3" t="s">
        <v>230</v>
      </c>
      <c r="Z34" s="3"/>
      <c r="AA34" s="3"/>
      <c r="AB34" s="3"/>
      <c r="AG34" s="3"/>
      <c r="AH34" s="3"/>
      <c r="AI34" s="3"/>
      <c r="AJ34" s="3"/>
      <c r="AL34" s="121" t="s">
        <v>32</v>
      </c>
      <c r="AM34" s="122"/>
      <c r="AN34" s="122"/>
      <c r="AO34" s="122"/>
      <c r="AP34" s="122"/>
      <c r="AQ34" s="122"/>
      <c r="AR34" s="122"/>
      <c r="AS34" s="123"/>
      <c r="AT34" s="145">
        <v>1.5</v>
      </c>
      <c r="AU34" s="146"/>
      <c r="AV34" s="146"/>
      <c r="AW34" s="146"/>
      <c r="AX34" s="146"/>
      <c r="AY34" s="147"/>
      <c r="AZ34" s="3"/>
      <c r="BA34" s="3"/>
      <c r="BB34" s="3"/>
      <c r="BC34" s="3"/>
      <c r="BD34" s="3"/>
      <c r="BE34" s="3"/>
      <c r="BJ34" s="3"/>
      <c r="BK34" s="3" t="s">
        <v>419</v>
      </c>
      <c r="BM34" s="3"/>
    </row>
    <row r="35" spans="1:70" s="3" customFormat="1">
      <c r="A35" s="33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 s="140" t="s">
        <v>29</v>
      </c>
      <c r="U35" s="141"/>
      <c r="V35" s="142"/>
      <c r="W35"/>
      <c r="X35"/>
      <c r="AC35"/>
      <c r="AD35"/>
      <c r="AK35"/>
      <c r="AL35" s="121" t="s">
        <v>33</v>
      </c>
      <c r="AM35" s="122"/>
      <c r="AN35" s="122"/>
      <c r="AO35" s="122"/>
      <c r="AP35" s="122"/>
      <c r="AQ35" s="122"/>
      <c r="AR35" s="122"/>
      <c r="AS35" s="123"/>
      <c r="AT35" s="150">
        <f>T33</f>
        <v>300</v>
      </c>
      <c r="AU35" s="151"/>
      <c r="AV35" s="151"/>
      <c r="AW35" s="143" t="s">
        <v>34</v>
      </c>
      <c r="AX35" s="143"/>
      <c r="AY35" s="144"/>
      <c r="BF35"/>
      <c r="BG35"/>
      <c r="BH35"/>
      <c r="BI35"/>
      <c r="BK35" s="3" t="s">
        <v>420</v>
      </c>
      <c r="BL35"/>
      <c r="BN35"/>
      <c r="BO35"/>
      <c r="BR35"/>
    </row>
    <row r="36" spans="1:70" s="3" customFormat="1">
      <c r="B36" s="3" t="s">
        <v>25</v>
      </c>
      <c r="AD36"/>
      <c r="AE36"/>
      <c r="AL36" s="121" t="s">
        <v>437</v>
      </c>
      <c r="AM36" s="122"/>
      <c r="AN36" s="122"/>
      <c r="AO36" s="122"/>
      <c r="AP36" s="122"/>
      <c r="AQ36" s="122"/>
      <c r="AR36" s="122"/>
      <c r="AS36" s="123"/>
      <c r="AT36" s="157" t="s">
        <v>438</v>
      </c>
      <c r="AU36" s="146"/>
      <c r="AV36" s="146"/>
      <c r="AW36" s="146"/>
      <c r="AX36" s="146"/>
      <c r="AY36" s="147"/>
      <c r="BK36" s="3" t="s">
        <v>439</v>
      </c>
      <c r="BR36"/>
    </row>
    <row r="37" spans="1:70" s="3" customFormat="1">
      <c r="C37" s="3" t="s">
        <v>26</v>
      </c>
      <c r="E37"/>
      <c r="F37"/>
      <c r="G37"/>
      <c r="H37"/>
      <c r="I37"/>
      <c r="J37"/>
      <c r="K37"/>
      <c r="L37"/>
      <c r="M37"/>
      <c r="Q37" s="2" t="s">
        <v>28</v>
      </c>
      <c r="R37"/>
      <c r="S37" t="s">
        <v>2</v>
      </c>
      <c r="T37" s="154">
        <v>10</v>
      </c>
      <c r="U37" s="155"/>
      <c r="V37" s="156"/>
      <c r="W37" s="1" t="s">
        <v>10</v>
      </c>
      <c r="X37"/>
      <c r="AC37" s="3" t="s">
        <v>125</v>
      </c>
      <c r="AD37"/>
      <c r="BR37"/>
    </row>
    <row r="38" spans="1:70" s="3" customFormat="1">
      <c r="A38" s="33"/>
      <c r="C38" s="3" t="s">
        <v>27</v>
      </c>
      <c r="E38"/>
      <c r="F38"/>
      <c r="G38"/>
      <c r="H38"/>
      <c r="I38"/>
      <c r="J38"/>
      <c r="K38"/>
      <c r="L38"/>
      <c r="M38"/>
      <c r="N38"/>
      <c r="O38"/>
      <c r="P38"/>
      <c r="T38" s="140" t="s">
        <v>29</v>
      </c>
      <c r="U38" s="141"/>
      <c r="V38" s="142"/>
      <c r="AI38" s="3">
        <v>1</v>
      </c>
      <c r="BR38" s="3">
        <v>2</v>
      </c>
    </row>
    <row r="39" spans="1:70" s="3" customFormat="1"/>
    <row r="40" spans="1:70" s="3" customFormat="1"/>
    <row r="41" spans="1:70" s="3" customFormat="1"/>
    <row r="42" spans="1:70" s="3" customFormat="1"/>
    <row r="43" spans="1:70" s="3" customFormat="1">
      <c r="Y43"/>
      <c r="Z43"/>
      <c r="AA43"/>
      <c r="AB43"/>
      <c r="AG43"/>
      <c r="AH43"/>
      <c r="AI43"/>
      <c r="BP43"/>
      <c r="BQ43"/>
    </row>
    <row r="44" spans="1:70" s="3" customFormat="1">
      <c r="Y44"/>
      <c r="Z44"/>
      <c r="AA44"/>
      <c r="AB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</row>
    <row r="45" spans="1:70" s="3" customFormat="1">
      <c r="A45" s="33"/>
      <c r="Y45"/>
      <c r="Z45"/>
      <c r="AA45"/>
      <c r="AB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</row>
    <row r="46" spans="1:70">
      <c r="Y46" s="3"/>
      <c r="Z46" s="3"/>
      <c r="AA46" s="3"/>
      <c r="AB46" s="3"/>
      <c r="AG46" s="3"/>
      <c r="AH46" s="3"/>
      <c r="AI46" s="3"/>
      <c r="BP46" s="3"/>
      <c r="BQ46" s="3"/>
    </row>
    <row r="47" spans="1:70">
      <c r="Y47" s="3"/>
      <c r="Z47" s="3"/>
      <c r="AA47" s="3"/>
      <c r="AB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</row>
    <row r="48" spans="1:70">
      <c r="Y48" s="3"/>
      <c r="Z48" s="3"/>
      <c r="AA48" s="3"/>
      <c r="AB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</row>
    <row r="49" spans="1:69" s="3" customFormat="1"/>
    <row r="50" spans="1:69" s="3" customFormat="1"/>
    <row r="51" spans="1:69" s="3" customFormat="1"/>
    <row r="52" spans="1:69" s="3" customFormat="1"/>
    <row r="53" spans="1:69" s="3" customFormat="1"/>
    <row r="54" spans="1:69" s="3" customFormat="1"/>
    <row r="55" spans="1:69" s="3" customFormat="1"/>
    <row r="56" spans="1:69" s="3" customFormat="1"/>
    <row r="57" spans="1:69" s="3" customFormat="1"/>
    <row r="58" spans="1:69" s="3" customFormat="1"/>
    <row r="59" spans="1:69" s="3" customFormat="1">
      <c r="A59" s="33"/>
    </row>
    <row r="60" spans="1:69" s="3" customFormat="1">
      <c r="Y60"/>
      <c r="Z60"/>
      <c r="AA60"/>
      <c r="AB60"/>
      <c r="AG60"/>
      <c r="AH60"/>
      <c r="AI60"/>
      <c r="BP60"/>
      <c r="BQ60"/>
    </row>
    <row r="61" spans="1:69" s="3" customFormat="1">
      <c r="Y61"/>
      <c r="Z61"/>
      <c r="AA61"/>
      <c r="AB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</row>
    <row r="62" spans="1:69" s="3" customFormat="1">
      <c r="Y62"/>
      <c r="Z62"/>
      <c r="AA62"/>
      <c r="AB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</row>
  </sheetData>
  <sheetProtection sheet="1" objects="1" scenarios="1"/>
  <mergeCells count="74">
    <mergeCell ref="BP3:BQ3"/>
    <mergeCell ref="AP3:AQ3"/>
    <mergeCell ref="AT3:AV3"/>
    <mergeCell ref="BG3:BI3"/>
    <mergeCell ref="O20:P20"/>
    <mergeCell ref="O19:P19"/>
    <mergeCell ref="T19:V19"/>
    <mergeCell ref="BG5:BI5"/>
    <mergeCell ref="BG7:BI7"/>
    <mergeCell ref="BG12:BI12"/>
    <mergeCell ref="BG13:BI13"/>
    <mergeCell ref="BG14:BI14"/>
    <mergeCell ref="Y9:AA9"/>
    <mergeCell ref="BG10:BI10"/>
    <mergeCell ref="BG11:BI11"/>
    <mergeCell ref="T7:V7"/>
    <mergeCell ref="T8:V8"/>
    <mergeCell ref="T5:V5"/>
    <mergeCell ref="BG2:BI2"/>
    <mergeCell ref="BG6:BI6"/>
    <mergeCell ref="BG4:BI4"/>
    <mergeCell ref="T6:V6"/>
    <mergeCell ref="T9:V9"/>
    <mergeCell ref="T17:V17"/>
    <mergeCell ref="T18:V18"/>
    <mergeCell ref="T12:V12"/>
    <mergeCell ref="T13:V13"/>
    <mergeCell ref="T10:V10"/>
    <mergeCell ref="AT28:AW28"/>
    <mergeCell ref="AX28:BA28"/>
    <mergeCell ref="BG24:BI24"/>
    <mergeCell ref="T11:V11"/>
    <mergeCell ref="BG17:BI17"/>
    <mergeCell ref="BG23:BI23"/>
    <mergeCell ref="BD25:BF25"/>
    <mergeCell ref="BG25:BI25"/>
    <mergeCell ref="BG20:BI20"/>
    <mergeCell ref="BG21:BI21"/>
    <mergeCell ref="BG22:BI22"/>
    <mergeCell ref="T24:V24"/>
    <mergeCell ref="T25:V25"/>
    <mergeCell ref="T26:V26"/>
    <mergeCell ref="T27:V27"/>
    <mergeCell ref="T14:V14"/>
    <mergeCell ref="AT29:AW29"/>
    <mergeCell ref="T35:V35"/>
    <mergeCell ref="AX29:BA29"/>
    <mergeCell ref="AL29:AO29"/>
    <mergeCell ref="T32:V32"/>
    <mergeCell ref="T33:V33"/>
    <mergeCell ref="T31:V31"/>
    <mergeCell ref="T38:V38"/>
    <mergeCell ref="AT32:AY32"/>
    <mergeCell ref="AW35:AY35"/>
    <mergeCell ref="AL34:AS34"/>
    <mergeCell ref="AT34:AY34"/>
    <mergeCell ref="AX33:AY33"/>
    <mergeCell ref="AL35:AS35"/>
    <mergeCell ref="AT35:AV35"/>
    <mergeCell ref="AL33:AS33"/>
    <mergeCell ref="AT33:AW33"/>
    <mergeCell ref="T37:V37"/>
    <mergeCell ref="AT36:AY36"/>
    <mergeCell ref="M19:N19"/>
    <mergeCell ref="M20:N20"/>
    <mergeCell ref="M21:N21"/>
    <mergeCell ref="T30:Y30"/>
    <mergeCell ref="AL36:AS36"/>
    <mergeCell ref="AP29:AS29"/>
    <mergeCell ref="AP28:AS28"/>
    <mergeCell ref="O21:P21"/>
    <mergeCell ref="Q21:R21"/>
    <mergeCell ref="T20:V20"/>
    <mergeCell ref="T21:V21"/>
  </mergeCells>
  <phoneticPr fontId="1"/>
  <conditionalFormatting sqref="BP3:BQ3">
    <cfRule type="cellIs" dxfId="7" priority="1" operator="equal">
      <formula>"NG"</formula>
    </cfRule>
  </conditionalFormatting>
  <dataValidations count="4">
    <dataValidation type="list" allowBlank="1" showInputMessage="1" showErrorMessage="1" sqref="AT29 AP29 AX29" xr:uid="{77DAE85E-65A3-4781-94E6-DDE2C86997B4}">
      <formula1>"有り, ー"</formula1>
    </dataValidation>
    <dataValidation type="list" allowBlank="1" showInputMessage="1" showErrorMessage="1" sqref="BG20:BG25" xr:uid="{0CC3604F-C0EA-4D4E-83D1-9026DA6350C6}">
      <formula1>"要, 不要"</formula1>
    </dataValidation>
    <dataValidation type="list" allowBlank="1" showInputMessage="1" showErrorMessage="1" sqref="BG11:BG14" xr:uid="{A514AB4C-928D-4DB5-8FA3-E1D3EAECEA45}">
      <formula1>"性能１, 性能２, 性能３"</formula1>
    </dataValidation>
    <dataValidation type="list" allowBlank="1" showInputMessage="1" showErrorMessage="1" sqref="BG10" xr:uid="{32C487C4-DFB9-4DFD-ABD7-E2A27B2C4706}">
      <formula1>"重要度１, 重要度２"</formula1>
    </dataValidation>
  </dataValidations>
  <hyperlinks>
    <hyperlink ref="AA1" r:id="rId1" xr:uid="{399A0A21-B9A3-40F7-98DC-804C477AE66F}"/>
  </hyperlinks>
  <pageMargins left="0.70866141732283472" right="0.70866141732283472" top="0.74803149606299213" bottom="0.74803149606299213" header="0.31496062992125984" footer="0.31496062992125984"/>
  <pageSetup paperSize="9" scale="75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7C9CF-3071-4036-8A45-03514AF22043}">
  <dimension ref="A1:CZ39"/>
  <sheetViews>
    <sheetView showGridLines="0" view="pageBreakPreview" zoomScale="70" zoomScaleNormal="65" zoomScaleSheetLayoutView="70" workbookViewId="0">
      <selection activeCell="A2" sqref="A2"/>
    </sheetView>
  </sheetViews>
  <sheetFormatPr defaultRowHeight="18"/>
  <cols>
    <col min="1" max="104" width="3" customWidth="1"/>
  </cols>
  <sheetData>
    <row r="1" spans="1:93">
      <c r="A1" t="s">
        <v>440</v>
      </c>
    </row>
    <row r="2" spans="1:93">
      <c r="B2" t="s">
        <v>441</v>
      </c>
      <c r="AL2" t="s">
        <v>444</v>
      </c>
      <c r="BU2" t="s">
        <v>447</v>
      </c>
    </row>
    <row r="3" spans="1:93">
      <c r="C3" t="s">
        <v>442</v>
      </c>
      <c r="AM3" s="2"/>
      <c r="AN3" s="35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66"/>
      <c r="BF3" s="36"/>
      <c r="BG3" s="36"/>
      <c r="BH3" s="36"/>
      <c r="BI3" s="36"/>
      <c r="BJ3" s="36"/>
      <c r="BK3" s="36"/>
      <c r="BL3" s="37"/>
      <c r="BM3" s="36"/>
      <c r="BN3" s="36"/>
      <c r="BO3" s="178"/>
      <c r="BP3" s="178"/>
      <c r="BQ3" s="178"/>
      <c r="BR3" s="38"/>
      <c r="BV3" t="s">
        <v>274</v>
      </c>
    </row>
    <row r="4" spans="1:93">
      <c r="C4" t="s">
        <v>443</v>
      </c>
      <c r="AN4" s="5"/>
      <c r="BL4" s="2"/>
      <c r="BM4" s="2"/>
      <c r="BO4" s="207"/>
      <c r="BP4" s="207"/>
      <c r="BQ4" s="207"/>
      <c r="BR4" s="39"/>
      <c r="BS4" s="1"/>
      <c r="CG4" s="201" t="s">
        <v>285</v>
      </c>
      <c r="CH4" s="202"/>
      <c r="CI4" s="203"/>
      <c r="CJ4" s="201" t="s">
        <v>283</v>
      </c>
      <c r="CK4" s="202"/>
      <c r="CL4" s="203"/>
      <c r="CM4" s="201" t="s">
        <v>300</v>
      </c>
      <c r="CN4" s="202"/>
      <c r="CO4" s="203"/>
    </row>
    <row r="5" spans="1:93">
      <c r="E5" s="35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7" t="s">
        <v>37</v>
      </c>
      <c r="AD5" s="36"/>
      <c r="AE5" s="36" t="s">
        <v>2</v>
      </c>
      <c r="AF5" s="178">
        <f>'1.設計条件'!T7</f>
        <v>1.1000000000000001</v>
      </c>
      <c r="AG5" s="178"/>
      <c r="AH5" s="178"/>
      <c r="AI5" s="38" t="s">
        <v>3</v>
      </c>
      <c r="AJ5" s="1"/>
      <c r="AN5" s="5"/>
      <c r="BL5" s="2" t="s">
        <v>264</v>
      </c>
      <c r="BM5" s="2"/>
      <c r="BN5" t="s">
        <v>2</v>
      </c>
      <c r="BO5" s="207">
        <f>'1.設計条件'!BG5</f>
        <v>1</v>
      </c>
      <c r="BP5" s="207"/>
      <c r="BQ5" s="207"/>
      <c r="BR5" s="39" t="s">
        <v>3</v>
      </c>
      <c r="BS5" s="1"/>
      <c r="CG5" s="213" t="s">
        <v>286</v>
      </c>
      <c r="CH5" s="210"/>
      <c r="CI5" s="214"/>
      <c r="CJ5" s="213" t="s">
        <v>284</v>
      </c>
      <c r="CK5" s="210"/>
      <c r="CL5" s="214"/>
      <c r="CM5" s="213" t="s">
        <v>301</v>
      </c>
      <c r="CN5" s="210"/>
      <c r="CO5" s="214"/>
    </row>
    <row r="6" spans="1:93">
      <c r="E6" s="5"/>
      <c r="AC6" s="2" t="s">
        <v>244</v>
      </c>
      <c r="AD6" s="2"/>
      <c r="AE6" t="s">
        <v>2</v>
      </c>
      <c r="AF6" s="207">
        <f>'1.設計条件'!T8</f>
        <v>0.3</v>
      </c>
      <c r="AG6" s="207"/>
      <c r="AH6" s="207"/>
      <c r="AI6" s="39" t="s">
        <v>3</v>
      </c>
      <c r="AJ6" s="1"/>
      <c r="AN6" s="5"/>
      <c r="BJ6" s="1">
        <v>1</v>
      </c>
      <c r="BK6" t="s">
        <v>6</v>
      </c>
      <c r="BL6" s="2" t="s">
        <v>246</v>
      </c>
      <c r="BM6" s="2"/>
      <c r="BO6" s="233">
        <f>AF8</f>
        <v>0.4</v>
      </c>
      <c r="BP6" s="233"/>
      <c r="BQ6" s="233"/>
      <c r="BR6" s="6"/>
      <c r="BS6" s="1"/>
      <c r="CG6" s="215" t="s">
        <v>287</v>
      </c>
      <c r="CH6" s="216"/>
      <c r="CI6" s="217"/>
      <c r="CJ6" s="215" t="s">
        <v>103</v>
      </c>
      <c r="CK6" s="216"/>
      <c r="CL6" s="217"/>
      <c r="CM6" s="215" t="s">
        <v>302</v>
      </c>
      <c r="CN6" s="216"/>
      <c r="CO6" s="217"/>
    </row>
    <row r="7" spans="1:93">
      <c r="E7" s="5"/>
      <c r="AC7" s="2" t="s">
        <v>248</v>
      </c>
      <c r="AD7" s="2"/>
      <c r="AE7" t="s">
        <v>2</v>
      </c>
      <c r="AF7" s="207">
        <f>'1.設計条件'!BG4</f>
        <v>0.49999999999999983</v>
      </c>
      <c r="AG7" s="207"/>
      <c r="AH7" s="207"/>
      <c r="AI7" s="39" t="s">
        <v>3</v>
      </c>
      <c r="AJ7" s="1"/>
      <c r="AN7" s="5"/>
      <c r="BL7" s="2" t="s">
        <v>249</v>
      </c>
      <c r="BN7" t="s">
        <v>2</v>
      </c>
      <c r="BO7" s="207">
        <f>'1.設計条件'!BG2</f>
        <v>0.83499999999999996</v>
      </c>
      <c r="BP7" s="207"/>
      <c r="BQ7" s="207"/>
      <c r="BR7" s="39" t="s">
        <v>3</v>
      </c>
      <c r="BW7" s="225" t="s">
        <v>275</v>
      </c>
      <c r="BX7" s="226"/>
      <c r="BY7" s="226"/>
      <c r="BZ7" s="227"/>
      <c r="CA7" s="221" t="s">
        <v>278</v>
      </c>
      <c r="CB7" s="221"/>
      <c r="CC7" s="221"/>
      <c r="CD7" s="221"/>
      <c r="CE7" s="221"/>
      <c r="CF7" s="221"/>
      <c r="CG7" s="196">
        <f>AD13</f>
        <v>0.81</v>
      </c>
      <c r="CH7" s="196"/>
      <c r="CI7" s="196"/>
      <c r="CJ7" s="196">
        <f>AD14</f>
        <v>7.5900000000000007</v>
      </c>
      <c r="CK7" s="197"/>
      <c r="CL7" s="197"/>
      <c r="CM7" s="196">
        <f>CG7*CJ7</f>
        <v>6.1479000000000008</v>
      </c>
      <c r="CN7" s="197"/>
      <c r="CO7" s="197"/>
    </row>
    <row r="8" spans="1:93">
      <c r="E8" s="5"/>
      <c r="AA8" s="1">
        <v>1</v>
      </c>
      <c r="AB8" t="s">
        <v>6</v>
      </c>
      <c r="AC8" s="2" t="s">
        <v>246</v>
      </c>
      <c r="AD8" s="2"/>
      <c r="AF8" s="233">
        <f>'1.設計条件'!T13</f>
        <v>0.4</v>
      </c>
      <c r="AG8" s="233"/>
      <c r="AH8" s="233"/>
      <c r="AI8" s="6"/>
      <c r="AN8" s="5"/>
      <c r="BR8" s="6"/>
      <c r="BS8" s="1"/>
      <c r="BW8" s="5"/>
      <c r="BZ8" s="6"/>
      <c r="CA8" s="222" t="s">
        <v>279</v>
      </c>
      <c r="CB8" s="222"/>
      <c r="CC8" s="222"/>
      <c r="CD8" s="222"/>
      <c r="CE8" s="222"/>
      <c r="CF8" s="222"/>
      <c r="CG8" s="196">
        <f>AD25</f>
        <v>0.51749999999999996</v>
      </c>
      <c r="CH8" s="197"/>
      <c r="CI8" s="197"/>
      <c r="CJ8" s="196">
        <f>AD26</f>
        <v>9.6024999999999956</v>
      </c>
      <c r="CK8" s="197"/>
      <c r="CL8" s="197"/>
      <c r="CM8" s="196">
        <f t="shared" ref="CM8:CM9" si="0">CG8*CJ8</f>
        <v>4.9692937499999976</v>
      </c>
      <c r="CN8" s="197"/>
      <c r="CO8" s="197"/>
    </row>
    <row r="9" spans="1:93">
      <c r="E9" s="5"/>
      <c r="AC9" s="2" t="s">
        <v>38</v>
      </c>
      <c r="AE9" t="s">
        <v>2</v>
      </c>
      <c r="AF9" s="207">
        <f>AF6*AF8</f>
        <v>0.12</v>
      </c>
      <c r="AG9" s="207"/>
      <c r="AH9" s="207"/>
      <c r="AI9" s="39" t="s">
        <v>3</v>
      </c>
      <c r="AJ9" s="1"/>
      <c r="AN9" s="5"/>
      <c r="BL9" s="2" t="s">
        <v>269</v>
      </c>
      <c r="BN9" t="s">
        <v>2</v>
      </c>
      <c r="BO9" s="207">
        <f>BO6*BO5</f>
        <v>0.4</v>
      </c>
      <c r="BP9" s="207"/>
      <c r="BQ9" s="207"/>
      <c r="BR9" s="39" t="s">
        <v>3</v>
      </c>
      <c r="BW9" s="5"/>
      <c r="BZ9" s="6"/>
      <c r="CA9" s="222" t="s">
        <v>280</v>
      </c>
      <c r="CB9" s="222"/>
      <c r="CC9" s="222"/>
      <c r="CD9" s="222"/>
      <c r="CE9" s="222"/>
      <c r="CF9" s="222"/>
      <c r="CG9" s="196">
        <f>AD37</f>
        <v>1.0674999999999999</v>
      </c>
      <c r="CH9" s="197"/>
      <c r="CI9" s="197"/>
      <c r="CJ9" s="196">
        <f>AD38</f>
        <v>3.0475000000000003</v>
      </c>
      <c r="CK9" s="197"/>
      <c r="CL9" s="197"/>
      <c r="CM9" s="196">
        <f t="shared" si="0"/>
        <v>3.2532062499999999</v>
      </c>
      <c r="CN9" s="197"/>
      <c r="CO9" s="197"/>
    </row>
    <row r="10" spans="1:93">
      <c r="E10" s="5"/>
      <c r="AC10" s="2" t="s">
        <v>247</v>
      </c>
      <c r="AE10" t="s">
        <v>2</v>
      </c>
      <c r="AF10" s="207">
        <f>AF8*AF7</f>
        <v>0.19999999999999996</v>
      </c>
      <c r="AG10" s="207"/>
      <c r="AH10" s="207"/>
      <c r="AI10" s="39" t="s">
        <v>3</v>
      </c>
      <c r="AJ10" s="1"/>
      <c r="AN10" s="7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8"/>
      <c r="BS10" s="1"/>
      <c r="BW10" s="5"/>
      <c r="BZ10" s="6"/>
      <c r="CA10" s="223" t="s">
        <v>281</v>
      </c>
      <c r="CB10" s="223"/>
      <c r="CC10" s="223"/>
      <c r="CD10" s="223"/>
      <c r="CE10" s="223"/>
      <c r="CF10" s="223"/>
      <c r="CG10" s="209"/>
      <c r="CH10" s="209"/>
      <c r="CI10" s="209"/>
      <c r="CJ10" s="208">
        <f>SUM(CJ7:CL9)</f>
        <v>20.239999999999995</v>
      </c>
      <c r="CK10" s="209"/>
      <c r="CL10" s="209"/>
      <c r="CM10" s="208">
        <f>SUM(CM7:CO9)</f>
        <v>14.370399999999998</v>
      </c>
      <c r="CN10" s="209"/>
      <c r="CO10" s="209"/>
    </row>
    <row r="11" spans="1:93">
      <c r="E11" s="7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8"/>
      <c r="AN11" t="s">
        <v>39</v>
      </c>
      <c r="AQ11" s="210" t="s">
        <v>40</v>
      </c>
      <c r="AR11" s="210"/>
      <c r="AS11" t="s">
        <v>2</v>
      </c>
      <c r="AT11" s="210" t="s">
        <v>249</v>
      </c>
      <c r="AU11" s="210"/>
      <c r="AV11" s="13" t="s">
        <v>44</v>
      </c>
      <c r="AW11" s="210" t="s">
        <v>264</v>
      </c>
      <c r="AX11" s="210"/>
      <c r="AZ11" t="s">
        <v>2</v>
      </c>
      <c r="BA11" s="207">
        <f>BO7</f>
        <v>0.83499999999999996</v>
      </c>
      <c r="BB11" s="184"/>
      <c r="BC11" s="184"/>
      <c r="BD11" s="13" t="s">
        <v>44</v>
      </c>
      <c r="BE11" s="207">
        <f>BO5</f>
        <v>1</v>
      </c>
      <c r="BF11" s="184"/>
      <c r="BG11" s="184"/>
      <c r="BL11" t="s">
        <v>2</v>
      </c>
      <c r="BM11" s="207">
        <f>BA11*BE11</f>
        <v>0.83499999999999996</v>
      </c>
      <c r="BN11" s="184"/>
      <c r="BO11" s="184"/>
      <c r="BP11" s="1" t="s">
        <v>251</v>
      </c>
      <c r="BW11" s="225" t="s">
        <v>276</v>
      </c>
      <c r="BX11" s="226"/>
      <c r="BY11" s="226"/>
      <c r="BZ11" s="227"/>
      <c r="CA11" s="222" t="s">
        <v>279</v>
      </c>
      <c r="CB11" s="222"/>
      <c r="CC11" s="222"/>
      <c r="CD11" s="222"/>
      <c r="CE11" s="222"/>
      <c r="CF11" s="222"/>
      <c r="CG11" s="196">
        <f>BM12</f>
        <v>0.61749999999999994</v>
      </c>
      <c r="CH11" s="197"/>
      <c r="CI11" s="197"/>
      <c r="CJ11" s="196">
        <f>BM13</f>
        <v>19.204999999999998</v>
      </c>
      <c r="CK11" s="197"/>
      <c r="CL11" s="197"/>
      <c r="CM11" s="196">
        <f>CG11*CJ11</f>
        <v>11.859087499999998</v>
      </c>
      <c r="CN11" s="197"/>
      <c r="CO11" s="197"/>
    </row>
    <row r="12" spans="1:93">
      <c r="E12" t="s">
        <v>39</v>
      </c>
      <c r="H12" s="210" t="s">
        <v>40</v>
      </c>
      <c r="I12" s="210"/>
      <c r="J12" t="s">
        <v>250</v>
      </c>
      <c r="K12" s="210" t="s">
        <v>37</v>
      </c>
      <c r="L12" s="210"/>
      <c r="M12" s="13" t="s">
        <v>44</v>
      </c>
      <c r="N12" s="210" t="s">
        <v>244</v>
      </c>
      <c r="O12" s="210"/>
      <c r="Q12" t="s">
        <v>2</v>
      </c>
      <c r="R12" s="207">
        <f>AF5</f>
        <v>1.1000000000000001</v>
      </c>
      <c r="S12" s="184"/>
      <c r="T12" s="184"/>
      <c r="U12" s="13" t="s">
        <v>44</v>
      </c>
      <c r="V12" s="207">
        <f>AF6</f>
        <v>0.3</v>
      </c>
      <c r="W12" s="184"/>
      <c r="X12" s="184"/>
      <c r="AC12" t="s">
        <v>2</v>
      </c>
      <c r="AD12" s="207">
        <f>R12*V12</f>
        <v>0.33</v>
      </c>
      <c r="AE12" s="184"/>
      <c r="AF12" s="184"/>
      <c r="AG12" s="1" t="s">
        <v>251</v>
      </c>
      <c r="AN12" t="s">
        <v>254</v>
      </c>
      <c r="AQ12" s="210" t="s">
        <v>41</v>
      </c>
      <c r="AR12" s="210"/>
      <c r="AS12" t="s">
        <v>2</v>
      </c>
      <c r="AT12" t="s">
        <v>265</v>
      </c>
      <c r="AU12" s="2" t="s">
        <v>269</v>
      </c>
      <c r="AV12" t="s">
        <v>266</v>
      </c>
      <c r="AW12" s="2" t="s">
        <v>249</v>
      </c>
      <c r="AX12" t="s">
        <v>267</v>
      </c>
      <c r="AY12" s="60">
        <v>2</v>
      </c>
      <c r="AZ12" t="s">
        <v>268</v>
      </c>
      <c r="BA12" t="s">
        <v>265</v>
      </c>
      <c r="BB12" s="207">
        <f>BO9</f>
        <v>0.4</v>
      </c>
      <c r="BC12" s="184"/>
      <c r="BD12" s="64" t="s">
        <v>266</v>
      </c>
      <c r="BE12" s="207">
        <f>BO7</f>
        <v>0.83499999999999996</v>
      </c>
      <c r="BF12" s="207"/>
      <c r="BG12" s="34" t="s">
        <v>267</v>
      </c>
      <c r="BH12" s="1">
        <v>2</v>
      </c>
      <c r="BL12" t="s">
        <v>268</v>
      </c>
      <c r="BM12" s="207">
        <f>(BB12+BE12)/2</f>
        <v>0.61749999999999994</v>
      </c>
      <c r="BN12" s="207"/>
      <c r="BO12" s="207"/>
      <c r="BP12" s="1" t="s">
        <v>93</v>
      </c>
      <c r="BW12" s="5"/>
      <c r="BZ12" s="6"/>
      <c r="CA12" s="222" t="s">
        <v>280</v>
      </c>
      <c r="CB12" s="222"/>
      <c r="CC12" s="222"/>
      <c r="CD12" s="222"/>
      <c r="CE12" s="222"/>
      <c r="CF12" s="222"/>
      <c r="CG12" s="196">
        <f>BM25</f>
        <v>1.1675</v>
      </c>
      <c r="CH12" s="197"/>
      <c r="CI12" s="197"/>
      <c r="CJ12" s="196">
        <f>BM26</f>
        <v>6.0950000000000024</v>
      </c>
      <c r="CK12" s="197"/>
      <c r="CL12" s="197"/>
      <c r="CM12" s="196">
        <f t="shared" ref="CM12" si="1">CG12*CJ12</f>
        <v>7.115912500000003</v>
      </c>
      <c r="CN12" s="197"/>
      <c r="CO12" s="197"/>
    </row>
    <row r="13" spans="1:93">
      <c r="E13" t="s">
        <v>254</v>
      </c>
      <c r="H13" s="210" t="s">
        <v>41</v>
      </c>
      <c r="I13" s="210"/>
      <c r="J13" t="s">
        <v>2</v>
      </c>
      <c r="K13" s="2" t="s">
        <v>247</v>
      </c>
      <c r="L13" s="62" t="s">
        <v>258</v>
      </c>
      <c r="M13" s="2" t="s">
        <v>38</v>
      </c>
      <c r="N13" t="s">
        <v>259</v>
      </c>
      <c r="O13" s="2" t="s">
        <v>260</v>
      </c>
      <c r="P13" s="63" t="s">
        <v>257</v>
      </c>
      <c r="Q13" t="s">
        <v>2</v>
      </c>
      <c r="R13" s="207">
        <f>AF10</f>
        <v>0.19999999999999996</v>
      </c>
      <c r="S13" s="207"/>
      <c r="T13" s="63" t="s">
        <v>258</v>
      </c>
      <c r="U13" s="207">
        <f>AF9</f>
        <v>0.12</v>
      </c>
      <c r="V13" s="184"/>
      <c r="W13" s="1" t="s">
        <v>259</v>
      </c>
      <c r="X13" s="207">
        <f>AF5</f>
        <v>1.1000000000000001</v>
      </c>
      <c r="Y13" s="184"/>
      <c r="Z13" s="63" t="s">
        <v>262</v>
      </c>
      <c r="AA13" s="60">
        <v>2</v>
      </c>
      <c r="AC13" t="s">
        <v>2</v>
      </c>
      <c r="AD13" s="207">
        <f>R13+(U13+X13)/2</f>
        <v>0.81</v>
      </c>
      <c r="AE13" s="207"/>
      <c r="AF13" s="207"/>
      <c r="AG13" s="1" t="s">
        <v>93</v>
      </c>
      <c r="AN13" t="s">
        <v>255</v>
      </c>
      <c r="AQ13" s="210" t="s">
        <v>284</v>
      </c>
      <c r="AR13" s="210"/>
      <c r="AS13" t="s">
        <v>2</v>
      </c>
      <c r="AT13" s="210" t="s">
        <v>40</v>
      </c>
      <c r="AU13" s="210"/>
      <c r="AV13" s="210"/>
      <c r="AW13" s="13" t="s">
        <v>44</v>
      </c>
      <c r="AX13" s="231" t="s">
        <v>85</v>
      </c>
      <c r="AY13" s="231"/>
      <c r="BA13" t="s">
        <v>2</v>
      </c>
      <c r="BB13" s="207">
        <f>BM11</f>
        <v>0.83499999999999996</v>
      </c>
      <c r="BC13" s="207"/>
      <c r="BD13" s="207"/>
      <c r="BE13" t="s">
        <v>44</v>
      </c>
      <c r="BF13" s="232">
        <f>'1.設計条件'!T18</f>
        <v>23</v>
      </c>
      <c r="BG13" s="184"/>
      <c r="BL13" t="s">
        <v>2</v>
      </c>
      <c r="BM13" s="207">
        <f>BB13*BF13</f>
        <v>19.204999999999998</v>
      </c>
      <c r="BN13" s="207"/>
      <c r="BO13" s="207"/>
      <c r="BP13" s="1" t="s">
        <v>45</v>
      </c>
      <c r="BW13" s="7"/>
      <c r="BX13" s="10"/>
      <c r="BY13" s="10"/>
      <c r="BZ13" s="8"/>
      <c r="CA13" s="223" t="s">
        <v>281</v>
      </c>
      <c r="CB13" s="223"/>
      <c r="CC13" s="223"/>
      <c r="CD13" s="223"/>
      <c r="CE13" s="223"/>
      <c r="CF13" s="223"/>
      <c r="CG13" s="209"/>
      <c r="CH13" s="209"/>
      <c r="CI13" s="209"/>
      <c r="CJ13" s="208">
        <f>SUM(CJ11:CL12)</f>
        <v>25.3</v>
      </c>
      <c r="CK13" s="209"/>
      <c r="CL13" s="209"/>
      <c r="CM13" s="208">
        <f>SUM(CM11:CO12)</f>
        <v>18.975000000000001</v>
      </c>
      <c r="CN13" s="209"/>
      <c r="CO13" s="209"/>
    </row>
    <row r="14" spans="1:93">
      <c r="E14" t="s">
        <v>255</v>
      </c>
      <c r="H14" s="210" t="s">
        <v>284</v>
      </c>
      <c r="I14" s="210"/>
      <c r="J14" t="s">
        <v>2</v>
      </c>
      <c r="K14" s="210" t="s">
        <v>40</v>
      </c>
      <c r="L14" s="210"/>
      <c r="M14" s="210"/>
      <c r="N14" s="13" t="s">
        <v>44</v>
      </c>
      <c r="O14" s="231" t="s">
        <v>85</v>
      </c>
      <c r="P14" s="231"/>
      <c r="R14" t="s">
        <v>2</v>
      </c>
      <c r="S14" s="207">
        <f>AD12</f>
        <v>0.33</v>
      </c>
      <c r="T14" s="207"/>
      <c r="U14" s="207"/>
      <c r="V14" t="s">
        <v>44</v>
      </c>
      <c r="W14" s="232">
        <f>'1.設計条件'!T18</f>
        <v>23</v>
      </c>
      <c r="X14" s="184"/>
      <c r="AC14" t="s">
        <v>2</v>
      </c>
      <c r="AD14" s="207">
        <f>S14*W14</f>
        <v>7.5900000000000007</v>
      </c>
      <c r="AE14" s="207"/>
      <c r="AF14" s="207"/>
      <c r="AG14" s="1" t="s">
        <v>45</v>
      </c>
      <c r="BW14" s="228" t="s">
        <v>277</v>
      </c>
      <c r="BX14" s="229"/>
      <c r="BY14" s="229"/>
      <c r="BZ14" s="230"/>
      <c r="CA14" s="224" t="s">
        <v>282</v>
      </c>
      <c r="CB14" s="224"/>
      <c r="CC14" s="224"/>
      <c r="CD14" s="224"/>
      <c r="CE14" s="224"/>
      <c r="CF14" s="224"/>
      <c r="CG14" s="211">
        <f>BM37</f>
        <v>0.65</v>
      </c>
      <c r="CH14" s="212"/>
      <c r="CI14" s="212"/>
      <c r="CJ14" s="211">
        <f>BM38</f>
        <v>8.9700000000000006</v>
      </c>
      <c r="CK14" s="212"/>
      <c r="CL14" s="212"/>
      <c r="CM14" s="196">
        <f t="shared" ref="CM14" si="2">CG14*CJ14</f>
        <v>5.8305000000000007</v>
      </c>
      <c r="CN14" s="197"/>
      <c r="CO14" s="197"/>
    </row>
    <row r="15" spans="1:93">
      <c r="AL15" t="s">
        <v>445</v>
      </c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22"/>
      <c r="CH15" s="13"/>
      <c r="CI15" s="13"/>
      <c r="CJ15" s="22"/>
      <c r="CK15" s="13"/>
      <c r="CL15" s="13"/>
      <c r="CM15" s="22"/>
      <c r="CN15" s="13"/>
      <c r="CO15" s="13"/>
    </row>
    <row r="16" spans="1:93">
      <c r="C16" t="s">
        <v>494</v>
      </c>
      <c r="AM16" s="2"/>
      <c r="AN16" s="35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66"/>
      <c r="BF16" s="36"/>
      <c r="BG16" s="36"/>
      <c r="BH16" s="36"/>
      <c r="BI16" s="36"/>
      <c r="BJ16" s="36"/>
      <c r="BK16" s="36"/>
      <c r="BL16" s="37"/>
      <c r="BM16" s="36"/>
      <c r="BN16" s="36"/>
      <c r="BO16" s="36"/>
      <c r="BP16" s="36"/>
      <c r="BQ16" s="36"/>
      <c r="BR16" s="38"/>
      <c r="BV16" s="70" t="s">
        <v>303</v>
      </c>
      <c r="BX16" s="70"/>
      <c r="BY16" s="70"/>
      <c r="BZ16" s="70"/>
      <c r="CA16" s="70"/>
      <c r="CB16" s="70"/>
      <c r="CC16" s="70"/>
      <c r="CD16" s="70"/>
      <c r="CE16" s="70"/>
      <c r="CF16" s="70"/>
      <c r="CG16" s="22"/>
      <c r="CH16" s="13"/>
      <c r="CI16" s="13"/>
      <c r="CJ16" s="22"/>
      <c r="CK16" s="13"/>
      <c r="CL16" s="13"/>
      <c r="CM16" s="22"/>
      <c r="CN16" s="13"/>
      <c r="CO16" s="13"/>
    </row>
    <row r="17" spans="3:94">
      <c r="D17" s="67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66"/>
      <c r="W17" s="36"/>
      <c r="X17" s="36"/>
      <c r="Y17" s="36"/>
      <c r="Z17" s="36"/>
      <c r="AA17" s="36"/>
      <c r="AB17" s="36"/>
      <c r="AC17" s="37"/>
      <c r="AD17" s="36"/>
      <c r="AE17" s="36"/>
      <c r="AF17" s="178"/>
      <c r="AG17" s="178"/>
      <c r="AH17" s="178"/>
      <c r="AI17" s="38"/>
      <c r="AJ17" s="1"/>
      <c r="AN17" s="5"/>
      <c r="BL17" s="2"/>
      <c r="BM17" s="2"/>
      <c r="BO17" s="207"/>
      <c r="BP17" s="207"/>
      <c r="BQ17" s="207"/>
      <c r="BR17" s="39"/>
      <c r="BS17" s="1"/>
      <c r="BW17" s="70" t="s">
        <v>304</v>
      </c>
      <c r="BX17" s="70"/>
      <c r="BY17" s="70"/>
      <c r="CB17" s="210" t="s">
        <v>41</v>
      </c>
      <c r="CC17" s="210"/>
      <c r="CD17" t="s">
        <v>2</v>
      </c>
      <c r="CE17" s="207">
        <f>CM10</f>
        <v>14.370399999999998</v>
      </c>
      <c r="CF17" s="184"/>
      <c r="CG17" s="184"/>
      <c r="CH17" s="70" t="s">
        <v>305</v>
      </c>
      <c r="CI17" s="207">
        <f>CJ10</f>
        <v>20.239999999999995</v>
      </c>
      <c r="CJ17" s="207"/>
      <c r="CK17" s="207"/>
      <c r="CL17" s="22"/>
      <c r="CM17" s="13" t="s">
        <v>306</v>
      </c>
      <c r="CN17" s="207">
        <f>CE17/CI17</f>
        <v>0.71000000000000008</v>
      </c>
      <c r="CO17" s="207"/>
      <c r="CP17" s="207"/>
    </row>
    <row r="18" spans="3:94">
      <c r="D18" s="6"/>
      <c r="AC18" s="2"/>
      <c r="AD18" s="2"/>
      <c r="AF18" s="207"/>
      <c r="AG18" s="207"/>
      <c r="AH18" s="207"/>
      <c r="AI18" s="39"/>
      <c r="AJ18" s="1"/>
      <c r="AN18" s="5"/>
      <c r="BL18" s="2" t="s">
        <v>264</v>
      </c>
      <c r="BM18" s="2"/>
      <c r="BN18" t="s">
        <v>2</v>
      </c>
      <c r="BO18" s="207">
        <f>'1.設計条件'!BG5</f>
        <v>1</v>
      </c>
      <c r="BP18" s="207"/>
      <c r="BQ18" s="207"/>
      <c r="BR18" s="39" t="s">
        <v>3</v>
      </c>
      <c r="BS18" s="1"/>
      <c r="BW18" s="70" t="s">
        <v>307</v>
      </c>
      <c r="BX18" s="70"/>
      <c r="BY18" s="70"/>
      <c r="CB18" s="210" t="s">
        <v>41</v>
      </c>
      <c r="CC18" s="210"/>
      <c r="CD18" t="s">
        <v>2</v>
      </c>
      <c r="CE18" s="207">
        <f>CM13</f>
        <v>18.975000000000001</v>
      </c>
      <c r="CF18" s="184"/>
      <c r="CG18" s="184"/>
      <c r="CH18" s="70" t="s">
        <v>305</v>
      </c>
      <c r="CI18" s="207">
        <f>CJ13</f>
        <v>25.3</v>
      </c>
      <c r="CJ18" s="207"/>
      <c r="CK18" s="207"/>
      <c r="CL18" s="22"/>
      <c r="CM18" s="13" t="s">
        <v>306</v>
      </c>
      <c r="CN18" s="207">
        <f>CE18/CI18</f>
        <v>0.75</v>
      </c>
      <c r="CO18" s="207"/>
      <c r="CP18" s="207"/>
    </row>
    <row r="19" spans="3:94">
      <c r="D19" s="6"/>
      <c r="AC19" s="2" t="s">
        <v>248</v>
      </c>
      <c r="AD19" s="2"/>
      <c r="AE19" t="s">
        <v>2</v>
      </c>
      <c r="AF19" s="207">
        <f>AF7</f>
        <v>0.49999999999999983</v>
      </c>
      <c r="AG19" s="207"/>
      <c r="AH19" s="207"/>
      <c r="AI19" s="39" t="s">
        <v>3</v>
      </c>
      <c r="AJ19" s="1"/>
      <c r="AN19" s="5"/>
      <c r="BJ19" s="1">
        <v>1</v>
      </c>
      <c r="BK19" t="s">
        <v>6</v>
      </c>
      <c r="BL19" s="2" t="s">
        <v>246</v>
      </c>
      <c r="BM19" s="2"/>
      <c r="BO19" s="233">
        <f>AF20</f>
        <v>0.4</v>
      </c>
      <c r="BP19" s="233"/>
      <c r="BQ19" s="233"/>
      <c r="BR19" s="6"/>
      <c r="BS19" s="1"/>
      <c r="BW19" s="70" t="s">
        <v>308</v>
      </c>
      <c r="BX19" s="70"/>
      <c r="BY19" s="70"/>
      <c r="CB19" s="210" t="s">
        <v>41</v>
      </c>
      <c r="CC19" s="210"/>
      <c r="CD19" t="s">
        <v>2</v>
      </c>
      <c r="CE19" s="207">
        <f>CM14</f>
        <v>5.8305000000000007</v>
      </c>
      <c r="CF19" s="184"/>
      <c r="CG19" s="184"/>
      <c r="CH19" s="70" t="s">
        <v>305</v>
      </c>
      <c r="CI19" s="207">
        <f>CJ14</f>
        <v>8.9700000000000006</v>
      </c>
      <c r="CJ19" s="207"/>
      <c r="CK19" s="207"/>
      <c r="CL19" s="22"/>
      <c r="CM19" s="13" t="s">
        <v>306</v>
      </c>
      <c r="CN19" s="207">
        <f>CE19/CI19</f>
        <v>0.65</v>
      </c>
      <c r="CO19" s="207"/>
      <c r="CP19" s="207"/>
    </row>
    <row r="20" spans="3:94">
      <c r="D20" s="6"/>
      <c r="AA20" s="1">
        <v>1</v>
      </c>
      <c r="AB20" t="s">
        <v>6</v>
      </c>
      <c r="AC20" s="2" t="s">
        <v>246</v>
      </c>
      <c r="AD20" s="2"/>
      <c r="AF20" s="233">
        <f>AF8</f>
        <v>0.4</v>
      </c>
      <c r="AG20" s="233"/>
      <c r="AH20" s="233"/>
      <c r="AI20" s="6"/>
      <c r="AN20" s="5"/>
      <c r="BL20" s="2" t="s">
        <v>249</v>
      </c>
      <c r="BN20" t="s">
        <v>2</v>
      </c>
      <c r="BO20" s="207">
        <f>BO7</f>
        <v>0.83499999999999996</v>
      </c>
      <c r="BP20" s="207"/>
      <c r="BQ20" s="207"/>
      <c r="BR20" s="39" t="s">
        <v>3</v>
      </c>
      <c r="BW20" s="70"/>
      <c r="BX20" s="70"/>
      <c r="BY20" s="70"/>
      <c r="BZ20" s="70"/>
    </row>
    <row r="21" spans="3:94">
      <c r="D21" s="6"/>
      <c r="AC21" s="2" t="s">
        <v>247</v>
      </c>
      <c r="AE21" t="s">
        <v>2</v>
      </c>
      <c r="AF21" s="207">
        <f>AF20*AF19</f>
        <v>0.19999999999999996</v>
      </c>
      <c r="AG21" s="207"/>
      <c r="AH21" s="207"/>
      <c r="AI21" s="39" t="s">
        <v>3</v>
      </c>
      <c r="AJ21" s="1"/>
      <c r="AN21" s="5"/>
      <c r="BL21" s="2" t="s">
        <v>256</v>
      </c>
      <c r="BN21" t="s">
        <v>2</v>
      </c>
      <c r="BO21" s="207">
        <f>AF34</f>
        <v>0.26500000000000012</v>
      </c>
      <c r="BP21" s="207"/>
      <c r="BQ21" s="207"/>
      <c r="BR21" s="39" t="s">
        <v>3</v>
      </c>
      <c r="BS21" s="1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22"/>
      <c r="CH21" s="13"/>
      <c r="CI21" s="13"/>
      <c r="CJ21" s="22"/>
      <c r="CK21" s="13"/>
      <c r="CL21" s="13"/>
      <c r="CM21" s="22"/>
      <c r="CN21" s="13"/>
      <c r="CO21" s="13"/>
    </row>
    <row r="22" spans="3:94">
      <c r="D22" s="6"/>
      <c r="AC22" s="2" t="s">
        <v>249</v>
      </c>
      <c r="AE22" t="s">
        <v>2</v>
      </c>
      <c r="AF22" s="207">
        <f>'1.設計条件'!BG2</f>
        <v>0.83499999999999996</v>
      </c>
      <c r="AG22" s="207"/>
      <c r="AH22" s="207"/>
      <c r="AI22" s="39" t="s">
        <v>3</v>
      </c>
      <c r="AJ22" s="1"/>
      <c r="AN22" s="5"/>
      <c r="BL22" s="2" t="s">
        <v>269</v>
      </c>
      <c r="BN22" t="s">
        <v>2</v>
      </c>
      <c r="BO22" s="207">
        <f>BO9</f>
        <v>0.4</v>
      </c>
      <c r="BP22" s="207"/>
      <c r="BQ22" s="207"/>
      <c r="BR22" s="39" t="s">
        <v>3</v>
      </c>
      <c r="BS22" s="1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22"/>
      <c r="CH22" s="13"/>
      <c r="CI22" s="13"/>
      <c r="CJ22" s="22"/>
      <c r="CK22" s="13"/>
      <c r="CL22" s="13"/>
      <c r="CM22" s="22"/>
      <c r="CN22" s="13"/>
      <c r="CO22" s="13"/>
    </row>
    <row r="23" spans="3:94">
      <c r="D23" s="6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8"/>
      <c r="AN23" s="7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8"/>
      <c r="BS23" s="1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22"/>
      <c r="CH23" s="13"/>
      <c r="CI23" s="13"/>
      <c r="CJ23" s="22"/>
      <c r="CK23" s="13"/>
      <c r="CL23" s="13"/>
      <c r="CM23" s="22"/>
      <c r="CN23" s="13"/>
      <c r="CO23" s="13"/>
    </row>
    <row r="24" spans="3:94">
      <c r="E24" t="s">
        <v>39</v>
      </c>
      <c r="H24" s="210" t="s">
        <v>40</v>
      </c>
      <c r="I24" s="210"/>
      <c r="J24" t="s">
        <v>2</v>
      </c>
      <c r="K24" s="210" t="s">
        <v>249</v>
      </c>
      <c r="L24" s="210"/>
      <c r="M24" s="13" t="s">
        <v>44</v>
      </c>
      <c r="N24" s="210" t="s">
        <v>248</v>
      </c>
      <c r="O24" s="210"/>
      <c r="Q24" t="s">
        <v>2</v>
      </c>
      <c r="R24" s="207">
        <f>AF22</f>
        <v>0.83499999999999996</v>
      </c>
      <c r="S24" s="184"/>
      <c r="T24" s="184"/>
      <c r="U24" s="13" t="s">
        <v>44</v>
      </c>
      <c r="V24" s="207">
        <f>AF19</f>
        <v>0.49999999999999983</v>
      </c>
      <c r="W24" s="184"/>
      <c r="X24" s="184"/>
      <c r="AC24" t="s">
        <v>2</v>
      </c>
      <c r="AD24" s="207">
        <f>R24*V24</f>
        <v>0.41749999999999982</v>
      </c>
      <c r="AE24" s="184"/>
      <c r="AF24" s="184"/>
      <c r="AG24" s="1" t="s">
        <v>251</v>
      </c>
      <c r="AN24" t="s">
        <v>39</v>
      </c>
      <c r="AQ24" s="210" t="s">
        <v>40</v>
      </c>
      <c r="AR24" s="210"/>
      <c r="AS24" t="s">
        <v>2</v>
      </c>
      <c r="AT24" s="210" t="s">
        <v>256</v>
      </c>
      <c r="AU24" s="210"/>
      <c r="AV24" s="13" t="s">
        <v>44</v>
      </c>
      <c r="AW24" s="210" t="s">
        <v>264</v>
      </c>
      <c r="AX24" s="210"/>
      <c r="AZ24" t="s">
        <v>2</v>
      </c>
      <c r="BA24" s="207">
        <f>BO21</f>
        <v>0.26500000000000012</v>
      </c>
      <c r="BB24" s="184"/>
      <c r="BC24" s="184"/>
      <c r="BD24" s="13" t="s">
        <v>44</v>
      </c>
      <c r="BE24" s="207">
        <f>BO18</f>
        <v>1</v>
      </c>
      <c r="BF24" s="184"/>
      <c r="BG24" s="184"/>
      <c r="BL24" t="s">
        <v>2</v>
      </c>
      <c r="BM24" s="207">
        <f>BA24*BE24</f>
        <v>0.26500000000000012</v>
      </c>
      <c r="BN24" s="184"/>
      <c r="BO24" s="184"/>
      <c r="BP24" s="1" t="s">
        <v>251</v>
      </c>
    </row>
    <row r="25" spans="3:94">
      <c r="E25" t="s">
        <v>254</v>
      </c>
      <c r="H25" s="210" t="s">
        <v>41</v>
      </c>
      <c r="I25" s="210"/>
      <c r="J25" t="s">
        <v>2</v>
      </c>
      <c r="K25" t="s">
        <v>265</v>
      </c>
      <c r="L25" s="2" t="s">
        <v>247</v>
      </c>
      <c r="M25" t="s">
        <v>266</v>
      </c>
      <c r="N25" s="2" t="s">
        <v>249</v>
      </c>
      <c r="O25" t="s">
        <v>267</v>
      </c>
      <c r="P25" s="60">
        <v>2</v>
      </c>
      <c r="Q25" t="s">
        <v>268</v>
      </c>
      <c r="R25" t="s">
        <v>265</v>
      </c>
      <c r="S25" s="207">
        <f>AF21</f>
        <v>0.19999999999999996</v>
      </c>
      <c r="T25" s="207"/>
      <c r="U25" t="s">
        <v>266</v>
      </c>
      <c r="V25" s="207">
        <f>AF22</f>
        <v>0.83499999999999996</v>
      </c>
      <c r="W25" s="207"/>
      <c r="X25" s="34" t="s">
        <v>267</v>
      </c>
      <c r="Y25" s="1">
        <v>2</v>
      </c>
      <c r="AC25" t="s">
        <v>268</v>
      </c>
      <c r="AD25" s="207">
        <f>(S25+V25)/2</f>
        <v>0.51749999999999996</v>
      </c>
      <c r="AE25" s="184"/>
      <c r="AF25" s="184"/>
      <c r="AG25" s="1" t="s">
        <v>93</v>
      </c>
      <c r="AN25" t="s">
        <v>254</v>
      </c>
      <c r="AQ25" s="210" t="s">
        <v>41</v>
      </c>
      <c r="AR25" s="210"/>
      <c r="AS25" t="s">
        <v>2</v>
      </c>
      <c r="AT25" s="2" t="s">
        <v>249</v>
      </c>
      <c r="AU25" s="62" t="s">
        <v>258</v>
      </c>
      <c r="AV25" s="2" t="s">
        <v>256</v>
      </c>
      <c r="AW25" t="s">
        <v>50</v>
      </c>
      <c r="AX25" s="2" t="s">
        <v>269</v>
      </c>
      <c r="AY25" s="1" t="s">
        <v>262</v>
      </c>
      <c r="AZ25" s="60">
        <v>2</v>
      </c>
      <c r="BA25" t="s">
        <v>2</v>
      </c>
      <c r="BB25" s="207">
        <f>BO20</f>
        <v>0.83499999999999996</v>
      </c>
      <c r="BC25" s="207"/>
      <c r="BD25" s="63" t="s">
        <v>258</v>
      </c>
      <c r="BE25" s="207">
        <f>BO21</f>
        <v>0.26500000000000012</v>
      </c>
      <c r="BF25" s="207"/>
      <c r="BG25" t="s">
        <v>50</v>
      </c>
      <c r="BH25" s="207">
        <f>BO22</f>
        <v>0.4</v>
      </c>
      <c r="BI25" s="184"/>
      <c r="BJ25" s="1" t="s">
        <v>262</v>
      </c>
      <c r="BK25" s="60">
        <v>2</v>
      </c>
      <c r="BL25" t="s">
        <v>2</v>
      </c>
      <c r="BM25" s="207">
        <f>BB25+(BE25+BH25)/2</f>
        <v>1.1675</v>
      </c>
      <c r="BN25" s="207"/>
      <c r="BO25" s="207"/>
      <c r="BP25" s="1" t="s">
        <v>93</v>
      </c>
      <c r="BU25" t="s">
        <v>448</v>
      </c>
    </row>
    <row r="26" spans="3:94">
      <c r="E26" t="s">
        <v>255</v>
      </c>
      <c r="H26" s="210" t="s">
        <v>284</v>
      </c>
      <c r="I26" s="210"/>
      <c r="J26" t="s">
        <v>2</v>
      </c>
      <c r="K26" s="210" t="s">
        <v>40</v>
      </c>
      <c r="L26" s="210"/>
      <c r="M26" s="210"/>
      <c r="N26" s="13" t="s">
        <v>44</v>
      </c>
      <c r="O26" s="231" t="s">
        <v>85</v>
      </c>
      <c r="P26" s="231"/>
      <c r="R26" t="s">
        <v>2</v>
      </c>
      <c r="S26" s="207">
        <f>AD24</f>
        <v>0.41749999999999982</v>
      </c>
      <c r="T26" s="207"/>
      <c r="U26" s="207"/>
      <c r="V26" t="s">
        <v>44</v>
      </c>
      <c r="W26" s="232">
        <f>'1.設計条件'!T18</f>
        <v>23</v>
      </c>
      <c r="X26" s="184"/>
      <c r="AC26" t="s">
        <v>2</v>
      </c>
      <c r="AD26" s="207">
        <f>S26*W26</f>
        <v>9.6024999999999956</v>
      </c>
      <c r="AE26" s="207"/>
      <c r="AF26" s="207"/>
      <c r="AG26" s="1" t="s">
        <v>45</v>
      </c>
      <c r="AN26" t="s">
        <v>255</v>
      </c>
      <c r="AQ26" s="210" t="s">
        <v>284</v>
      </c>
      <c r="AR26" s="210"/>
      <c r="AS26" t="s">
        <v>2</v>
      </c>
      <c r="AT26" s="210" t="s">
        <v>40</v>
      </c>
      <c r="AU26" s="210"/>
      <c r="AV26" s="210"/>
      <c r="AW26" s="13" t="s">
        <v>44</v>
      </c>
      <c r="AX26" s="231" t="s">
        <v>85</v>
      </c>
      <c r="AY26" s="231"/>
      <c r="BA26" t="s">
        <v>2</v>
      </c>
      <c r="BB26" s="207">
        <f>BM24</f>
        <v>0.26500000000000012</v>
      </c>
      <c r="BC26" s="207"/>
      <c r="BD26" s="207"/>
      <c r="BE26" t="s">
        <v>44</v>
      </c>
      <c r="BF26" s="232">
        <f>'1.設計条件'!T18</f>
        <v>23</v>
      </c>
      <c r="BG26" s="184"/>
      <c r="BL26" t="s">
        <v>2</v>
      </c>
      <c r="BM26" s="207">
        <f>BB26*BF26</f>
        <v>6.0950000000000024</v>
      </c>
      <c r="BN26" s="207"/>
      <c r="BO26" s="207"/>
      <c r="BP26" s="1" t="s">
        <v>45</v>
      </c>
    </row>
    <row r="27" spans="3:94">
      <c r="S27" s="61"/>
      <c r="Y27" s="61"/>
      <c r="Z27" s="4"/>
      <c r="AA27" s="207"/>
      <c r="AB27" s="207"/>
      <c r="AC27" s="207"/>
      <c r="AD27" s="1"/>
      <c r="BZ27" s="121" t="s">
        <v>289</v>
      </c>
      <c r="CA27" s="122"/>
      <c r="CB27" s="123"/>
      <c r="CC27" s="201" t="s">
        <v>309</v>
      </c>
      <c r="CD27" s="202"/>
      <c r="CE27" s="202"/>
      <c r="CF27" s="202"/>
      <c r="CG27" s="202"/>
      <c r="CH27" s="202"/>
      <c r="CI27" s="202"/>
      <c r="CJ27" s="202"/>
      <c r="CK27" s="203"/>
      <c r="CL27" s="201" t="s">
        <v>310</v>
      </c>
      <c r="CM27" s="202"/>
      <c r="CN27" s="203"/>
    </row>
    <row r="28" spans="3:94">
      <c r="C28" t="s">
        <v>495</v>
      </c>
      <c r="AL28" t="s">
        <v>446</v>
      </c>
      <c r="BZ28" s="213" t="s">
        <v>286</v>
      </c>
      <c r="CA28" s="210"/>
      <c r="CB28" s="214"/>
      <c r="CC28" s="201" t="s">
        <v>312</v>
      </c>
      <c r="CD28" s="202"/>
      <c r="CE28" s="203"/>
      <c r="CF28" s="198" t="s">
        <v>313</v>
      </c>
      <c r="CG28" s="199"/>
      <c r="CH28" s="200"/>
      <c r="CI28" s="201" t="s">
        <v>314</v>
      </c>
      <c r="CJ28" s="202"/>
      <c r="CK28" s="203"/>
      <c r="CL28" s="204" t="s">
        <v>311</v>
      </c>
      <c r="CM28" s="205"/>
      <c r="CN28" s="206"/>
    </row>
    <row r="29" spans="3:94">
      <c r="D29" s="2"/>
      <c r="E29" s="35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6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41"/>
      <c r="AM29" s="2"/>
      <c r="AN29" s="35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66"/>
      <c r="BF29" s="36"/>
      <c r="BG29" s="36"/>
      <c r="BH29" s="36"/>
      <c r="BI29" s="36"/>
      <c r="BJ29" s="36"/>
      <c r="BK29" s="36"/>
      <c r="BL29" s="37"/>
      <c r="BM29" s="36"/>
      <c r="BN29" s="36"/>
      <c r="BO29" s="178"/>
      <c r="BP29" s="178"/>
      <c r="BQ29" s="178"/>
      <c r="BR29" s="38"/>
      <c r="BV29" s="68">
        <v>6</v>
      </c>
      <c r="BW29" s="54">
        <f>IF(('1.設計条件'!BG$6+1)&gt;=BV29, BV29, "")</f>
        <v>6</v>
      </c>
      <c r="BX29" s="218" t="str">
        <f t="shared" ref="BX29:BX34" si="3">IF(BW29&lt;&gt;"","段目","")</f>
        <v>段目</v>
      </c>
      <c r="BY29" s="219"/>
      <c r="BZ29" s="196">
        <f>IF(BW29&lt;&gt;"",$BZ$34+$BO$9*(BV29-1),"")</f>
        <v>2.1</v>
      </c>
      <c r="CA29" s="197"/>
      <c r="CB29" s="197"/>
      <c r="CC29" s="196"/>
      <c r="CD29" s="197"/>
      <c r="CE29" s="197"/>
      <c r="CF29" s="196" t="str">
        <f>IF(('1.設計条件'!BG$6+1)&gt;BV29, CN$18, "")</f>
        <v/>
      </c>
      <c r="CG29" s="197"/>
      <c r="CH29" s="197"/>
      <c r="CI29" s="196">
        <f>IF(('1.設計条件'!BG$6+1)=BV29, CN$17, "")</f>
        <v>0.71000000000000008</v>
      </c>
      <c r="CJ29" s="197"/>
      <c r="CK29" s="197"/>
      <c r="CL29" s="196">
        <f>IF(SUM(BZ29:CK29)=0,"",SUM(BZ29:CK29))</f>
        <v>2.81</v>
      </c>
      <c r="CM29" s="197"/>
      <c r="CN29" s="197"/>
    </row>
    <row r="30" spans="3:94">
      <c r="E30" s="5"/>
      <c r="AC30" s="2" t="s">
        <v>248</v>
      </c>
      <c r="AD30" s="2"/>
      <c r="AE30" t="s">
        <v>2</v>
      </c>
      <c r="AF30" s="207">
        <f>AF7</f>
        <v>0.49999999999999983</v>
      </c>
      <c r="AG30" s="207"/>
      <c r="AH30" s="207"/>
      <c r="AI30" s="39" t="s">
        <v>3</v>
      </c>
      <c r="AJ30" s="1"/>
      <c r="AN30" s="5"/>
      <c r="BL30" s="2"/>
      <c r="BM30" s="2"/>
      <c r="BO30" s="207"/>
      <c r="BP30" s="207"/>
      <c r="BQ30" s="207"/>
      <c r="BR30" s="39"/>
      <c r="BS30" s="1"/>
      <c r="BV30" s="68">
        <v>5</v>
      </c>
      <c r="BW30" s="54">
        <f>IF(('1.設計条件'!BG$6+1)&gt;=BV30, BV30, "")</f>
        <v>5</v>
      </c>
      <c r="BX30" s="218" t="str">
        <f t="shared" si="3"/>
        <v>段目</v>
      </c>
      <c r="BY30" s="219"/>
      <c r="BZ30" s="196">
        <f>IF(BW30&lt;&gt;"",$BZ$34+$BO$9*(BV30-1),"")</f>
        <v>1.7000000000000002</v>
      </c>
      <c r="CA30" s="197"/>
      <c r="CB30" s="197"/>
      <c r="CC30" s="196"/>
      <c r="CD30" s="197"/>
      <c r="CE30" s="197"/>
      <c r="CF30" s="196">
        <f>IF(('1.設計条件'!BG$6+1)&gt;BV30, CN$18, "")</f>
        <v>0.75</v>
      </c>
      <c r="CG30" s="197"/>
      <c r="CH30" s="197"/>
      <c r="CI30" s="196" t="str">
        <f>IF(('1.設計条件'!BG$6+1)=BV30, CN$17, "")</f>
        <v/>
      </c>
      <c r="CJ30" s="197"/>
      <c r="CK30" s="197"/>
      <c r="CL30" s="196">
        <f t="shared" ref="CL30:CL35" si="4">IF(SUM(BZ30:CK30)=0,"",SUM(BZ30:CK30))</f>
        <v>2.4500000000000002</v>
      </c>
      <c r="CM30" s="197"/>
      <c r="CN30" s="197"/>
    </row>
    <row r="31" spans="3:94">
      <c r="E31" s="5"/>
      <c r="AA31" s="1">
        <v>1</v>
      </c>
      <c r="AB31" t="s">
        <v>6</v>
      </c>
      <c r="AC31" s="2" t="s">
        <v>246</v>
      </c>
      <c r="AD31" s="2"/>
      <c r="AF31" s="233">
        <f>AF8</f>
        <v>0.4</v>
      </c>
      <c r="AG31" s="233"/>
      <c r="AH31" s="233"/>
      <c r="AI31" s="39"/>
      <c r="AJ31" s="1"/>
      <c r="AN31" s="5"/>
      <c r="BL31" s="2" t="s">
        <v>243</v>
      </c>
      <c r="BM31" s="2"/>
      <c r="BN31" t="s">
        <v>2</v>
      </c>
      <c r="BO31" s="207">
        <f>'1.設計条件'!T10</f>
        <v>0.3</v>
      </c>
      <c r="BP31" s="207"/>
      <c r="BQ31" s="207"/>
      <c r="BR31" s="39" t="s">
        <v>3</v>
      </c>
      <c r="BS31" s="1"/>
      <c r="BV31" s="68">
        <v>4</v>
      </c>
      <c r="BW31" s="54">
        <f>IF(('1.設計条件'!BG$6+1)&gt;=BV31, BV31, "")</f>
        <v>4</v>
      </c>
      <c r="BX31" s="218" t="str">
        <f t="shared" si="3"/>
        <v>段目</v>
      </c>
      <c r="BY31" s="219"/>
      <c r="BZ31" s="196">
        <f>IF(BW31&lt;&gt;"",$BZ$34+$BO$9*(BV31-1),"")</f>
        <v>1.3000000000000003</v>
      </c>
      <c r="CA31" s="197"/>
      <c r="CB31" s="197"/>
      <c r="CC31" s="196"/>
      <c r="CD31" s="197"/>
      <c r="CE31" s="197"/>
      <c r="CF31" s="196">
        <f>IF(('1.設計条件'!BG$6+1)&gt;BV31, CN$18, "")</f>
        <v>0.75</v>
      </c>
      <c r="CG31" s="197"/>
      <c r="CH31" s="197"/>
      <c r="CI31" s="196" t="str">
        <f>IF(('1.設計条件'!BG$6+1)=BV31, CN$17, "")</f>
        <v/>
      </c>
      <c r="CJ31" s="197"/>
      <c r="CK31" s="197"/>
      <c r="CL31" s="196">
        <f t="shared" si="4"/>
        <v>2.0500000000000003</v>
      </c>
      <c r="CM31" s="197"/>
      <c r="CN31" s="197"/>
    </row>
    <row r="32" spans="3:94">
      <c r="E32" s="5"/>
      <c r="AC32" s="2" t="s">
        <v>247</v>
      </c>
      <c r="AE32" t="s">
        <v>2</v>
      </c>
      <c r="AF32" s="207">
        <f>AF31*AF30</f>
        <v>0.19999999999999996</v>
      </c>
      <c r="AG32" s="207"/>
      <c r="AH32" s="207"/>
      <c r="AI32" s="39" t="s">
        <v>3</v>
      </c>
      <c r="AJ32" s="1"/>
      <c r="AN32" s="5"/>
      <c r="BJ32" s="1"/>
      <c r="BL32" s="2" t="s">
        <v>36</v>
      </c>
      <c r="BN32" t="s">
        <v>2</v>
      </c>
      <c r="BO32" s="207">
        <f>'1.設計条件'!T9</f>
        <v>1.3</v>
      </c>
      <c r="BP32" s="207"/>
      <c r="BQ32" s="207"/>
      <c r="BR32" s="39" t="s">
        <v>3</v>
      </c>
      <c r="BS32" s="1"/>
      <c r="BV32" s="68">
        <v>3</v>
      </c>
      <c r="BW32" s="54">
        <f>IF(('1.設計条件'!BG$6+1)&gt;=BV32, BV32, "")</f>
        <v>3</v>
      </c>
      <c r="BX32" s="218" t="str">
        <f t="shared" si="3"/>
        <v>段目</v>
      </c>
      <c r="BY32" s="219"/>
      <c r="BZ32" s="196">
        <f>IF(BW32&lt;&gt;"",$BZ$34+$BO$9*(BV32-1),"")</f>
        <v>0.9</v>
      </c>
      <c r="CA32" s="197"/>
      <c r="CB32" s="197"/>
      <c r="CC32" s="196"/>
      <c r="CD32" s="197"/>
      <c r="CE32" s="197"/>
      <c r="CF32" s="196">
        <f>IF(('1.設計条件'!BG$6+1)&gt;BV32, CN$18, "")</f>
        <v>0.75</v>
      </c>
      <c r="CG32" s="197"/>
      <c r="CH32" s="197"/>
      <c r="CI32" s="196" t="str">
        <f>IF(('1.設計条件'!BG$6+1)=BV32, CN$17, "")</f>
        <v/>
      </c>
      <c r="CJ32" s="197"/>
      <c r="CK32" s="197"/>
      <c r="CL32" s="196">
        <f t="shared" si="4"/>
        <v>1.65</v>
      </c>
      <c r="CM32" s="197"/>
      <c r="CN32" s="197"/>
    </row>
    <row r="33" spans="5:104">
      <c r="E33" s="5"/>
      <c r="AC33" s="2" t="s">
        <v>249</v>
      </c>
      <c r="AE33" t="s">
        <v>2</v>
      </c>
      <c r="AF33" s="207">
        <f>AF22</f>
        <v>0.83499999999999996</v>
      </c>
      <c r="AG33" s="207"/>
      <c r="AH33" s="207"/>
      <c r="AI33" s="39" t="s">
        <v>3</v>
      </c>
      <c r="AJ33" s="1"/>
      <c r="AN33" s="5"/>
      <c r="BR33" s="6"/>
      <c r="BS33" s="1"/>
      <c r="BV33" s="68">
        <v>2</v>
      </c>
      <c r="BW33" s="54">
        <f>IF(('1.設計条件'!BG$6+1)&gt;=BV33, BV33, "")</f>
        <v>2</v>
      </c>
      <c r="BX33" s="218" t="str">
        <f t="shared" si="3"/>
        <v>段目</v>
      </c>
      <c r="BY33" s="219"/>
      <c r="BZ33" s="196">
        <f>IF(BW33&lt;&gt;"",$BZ$34+$BO$9*(BV33-1),"")</f>
        <v>0.5</v>
      </c>
      <c r="CA33" s="197"/>
      <c r="CB33" s="197"/>
      <c r="CC33" s="196"/>
      <c r="CD33" s="197"/>
      <c r="CE33" s="197"/>
      <c r="CF33" s="196">
        <f>IF(('1.設計条件'!BG$6+1)&gt;BV33, CN$18, "")</f>
        <v>0.75</v>
      </c>
      <c r="CG33" s="197"/>
      <c r="CH33" s="197"/>
      <c r="CI33" s="196" t="str">
        <f>IF(('1.設計条件'!BG$6+1)=BV33, CN$17, "")</f>
        <v/>
      </c>
      <c r="CJ33" s="197"/>
      <c r="CK33" s="197"/>
      <c r="CL33" s="196">
        <f t="shared" si="4"/>
        <v>1.25</v>
      </c>
      <c r="CM33" s="197"/>
      <c r="CN33" s="197"/>
    </row>
    <row r="34" spans="5:104">
      <c r="E34" s="5"/>
      <c r="AC34" s="2" t="s">
        <v>256</v>
      </c>
      <c r="AE34" t="s">
        <v>2</v>
      </c>
      <c r="AF34" s="207">
        <f>'1.設計条件'!BG7</f>
        <v>0.26500000000000012</v>
      </c>
      <c r="AG34" s="207"/>
      <c r="AH34" s="207"/>
      <c r="AI34" s="39" t="s">
        <v>3</v>
      </c>
      <c r="AJ34" s="1"/>
      <c r="AN34" s="5"/>
      <c r="BR34" s="39"/>
      <c r="BV34" s="68">
        <v>1</v>
      </c>
      <c r="BW34" s="54">
        <f>IF(('1.設計条件'!BG$6+1)&gt;=BV34, BV34, "")</f>
        <v>1</v>
      </c>
      <c r="BX34" s="218" t="str">
        <f t="shared" si="3"/>
        <v>段目</v>
      </c>
      <c r="BY34" s="219"/>
      <c r="BZ34" s="196">
        <f>BZ35+'1.設計条件'!T11</f>
        <v>0.1</v>
      </c>
      <c r="CA34" s="197"/>
      <c r="CB34" s="197"/>
      <c r="CC34" s="196"/>
      <c r="CD34" s="197"/>
      <c r="CE34" s="197"/>
      <c r="CF34" s="196">
        <f>IF(('1.設計条件'!BG$6+1)&gt;BV34, CN$18, "")</f>
        <v>0.75</v>
      </c>
      <c r="CG34" s="197"/>
      <c r="CH34" s="197"/>
      <c r="CI34" s="196" t="str">
        <f>IF(('1.設計条件'!BG$6+1)=BV34, CN$17, "")</f>
        <v/>
      </c>
      <c r="CJ34" s="197"/>
      <c r="CK34" s="197"/>
      <c r="CL34" s="196">
        <f t="shared" si="4"/>
        <v>0.85</v>
      </c>
      <c r="CM34" s="197"/>
      <c r="CN34" s="197"/>
    </row>
    <row r="35" spans="5:104">
      <c r="E35" s="7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8"/>
      <c r="AN35" s="7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40"/>
      <c r="BS35" s="1"/>
      <c r="BV35" s="68">
        <v>0</v>
      </c>
      <c r="BW35" s="220" t="s">
        <v>288</v>
      </c>
      <c r="BX35" s="220"/>
      <c r="BY35" s="220"/>
      <c r="BZ35" s="196">
        <f>W56</f>
        <v>0</v>
      </c>
      <c r="CA35" s="197"/>
      <c r="CB35" s="197"/>
      <c r="CC35" s="196">
        <f>CN19</f>
        <v>0.65</v>
      </c>
      <c r="CD35" s="197"/>
      <c r="CE35" s="197"/>
      <c r="CF35" s="196"/>
      <c r="CG35" s="197"/>
      <c r="CH35" s="197"/>
      <c r="CI35" s="196"/>
      <c r="CJ35" s="197"/>
      <c r="CK35" s="197"/>
      <c r="CL35" s="196">
        <f t="shared" si="4"/>
        <v>0.65</v>
      </c>
      <c r="CM35" s="197"/>
      <c r="CN35" s="197"/>
    </row>
    <row r="36" spans="5:104">
      <c r="E36" t="s">
        <v>39</v>
      </c>
      <c r="H36" s="210" t="s">
        <v>40</v>
      </c>
      <c r="I36" s="210"/>
      <c r="J36" t="s">
        <v>2</v>
      </c>
      <c r="K36" s="210" t="s">
        <v>261</v>
      </c>
      <c r="L36" s="210"/>
      <c r="M36" s="13" t="s">
        <v>44</v>
      </c>
      <c r="N36" s="210" t="s">
        <v>248</v>
      </c>
      <c r="O36" s="210"/>
      <c r="Q36" t="s">
        <v>2</v>
      </c>
      <c r="R36" s="207">
        <f>AF34</f>
        <v>0.26500000000000012</v>
      </c>
      <c r="S36" s="184"/>
      <c r="T36" s="184"/>
      <c r="U36" s="13" t="s">
        <v>44</v>
      </c>
      <c r="V36" s="207">
        <f>AF30</f>
        <v>0.49999999999999983</v>
      </c>
      <c r="W36" s="184"/>
      <c r="X36" s="184"/>
      <c r="AC36" t="s">
        <v>2</v>
      </c>
      <c r="AD36" s="207">
        <f>R36*V36</f>
        <v>0.13250000000000001</v>
      </c>
      <c r="AE36" s="184"/>
      <c r="AF36" s="184"/>
      <c r="AG36" s="1" t="s">
        <v>251</v>
      </c>
      <c r="AN36" t="s">
        <v>39</v>
      </c>
      <c r="AQ36" s="210" t="s">
        <v>40</v>
      </c>
      <c r="AR36" s="210"/>
      <c r="AS36" t="s">
        <v>2</v>
      </c>
      <c r="AT36" s="210" t="s">
        <v>36</v>
      </c>
      <c r="AU36" s="210"/>
      <c r="AV36" s="13" t="s">
        <v>44</v>
      </c>
      <c r="AW36" s="210" t="s">
        <v>243</v>
      </c>
      <c r="AX36" s="210"/>
      <c r="AZ36" t="s">
        <v>2</v>
      </c>
      <c r="BA36" s="207">
        <f>BO32</f>
        <v>1.3</v>
      </c>
      <c r="BB36" s="184"/>
      <c r="BC36" s="184"/>
      <c r="BD36" s="13" t="s">
        <v>44</v>
      </c>
      <c r="BE36" s="207">
        <f>BO31</f>
        <v>0.3</v>
      </c>
      <c r="BF36" s="184"/>
      <c r="BG36" s="184"/>
      <c r="BL36" t="s">
        <v>2</v>
      </c>
      <c r="BM36" s="207">
        <f>BA36*BE36</f>
        <v>0.39</v>
      </c>
      <c r="BN36" s="184"/>
      <c r="BO36" s="184"/>
      <c r="BP36" s="1" t="s">
        <v>251</v>
      </c>
      <c r="BS36" s="1"/>
    </row>
    <row r="37" spans="5:104">
      <c r="E37" t="s">
        <v>254</v>
      </c>
      <c r="H37" s="210" t="s">
        <v>41</v>
      </c>
      <c r="I37" s="210"/>
      <c r="J37" t="s">
        <v>2</v>
      </c>
      <c r="K37" s="2" t="s">
        <v>249</v>
      </c>
      <c r="L37" s="62" t="s">
        <v>258</v>
      </c>
      <c r="M37" s="2" t="s">
        <v>256</v>
      </c>
      <c r="N37" t="s">
        <v>259</v>
      </c>
      <c r="O37" s="2" t="s">
        <v>247</v>
      </c>
      <c r="P37" s="1" t="s">
        <v>262</v>
      </c>
      <c r="Q37" s="60">
        <v>2</v>
      </c>
      <c r="R37" t="s">
        <v>263</v>
      </c>
      <c r="S37" s="207">
        <f>AF33</f>
        <v>0.83499999999999996</v>
      </c>
      <c r="T37" s="207"/>
      <c r="U37" s="63" t="s">
        <v>258</v>
      </c>
      <c r="V37" s="207">
        <f>AF34</f>
        <v>0.26500000000000012</v>
      </c>
      <c r="W37" s="207"/>
      <c r="X37" t="s">
        <v>259</v>
      </c>
      <c r="Y37" s="207">
        <f>AF32</f>
        <v>0.19999999999999996</v>
      </c>
      <c r="Z37" s="184"/>
      <c r="AA37" s="1" t="s">
        <v>262</v>
      </c>
      <c r="AB37" s="60">
        <v>2</v>
      </c>
      <c r="AC37" t="s">
        <v>263</v>
      </c>
      <c r="AD37" s="207">
        <f>S37+(V37+Y37)/2</f>
        <v>1.0674999999999999</v>
      </c>
      <c r="AE37" s="207"/>
      <c r="AF37" s="207"/>
      <c r="AG37" s="1" t="s">
        <v>93</v>
      </c>
      <c r="AN37" t="s">
        <v>254</v>
      </c>
      <c r="AQ37" s="210" t="s">
        <v>41</v>
      </c>
      <c r="AR37" s="210"/>
      <c r="AS37" t="s">
        <v>2</v>
      </c>
      <c r="AT37" s="2" t="s">
        <v>36</v>
      </c>
      <c r="AU37" s="62" t="s">
        <v>273</v>
      </c>
      <c r="AV37" s="60">
        <v>2</v>
      </c>
      <c r="AW37" t="s">
        <v>2</v>
      </c>
      <c r="AX37" s="207">
        <f>BO32</f>
        <v>1.3</v>
      </c>
      <c r="AY37" s="207"/>
      <c r="AZ37" s="62" t="s">
        <v>273</v>
      </c>
      <c r="BA37" s="60">
        <v>2</v>
      </c>
      <c r="BH37" s="34"/>
      <c r="BL37" t="s">
        <v>2</v>
      </c>
      <c r="BM37" s="207">
        <f>AX37/BA37</f>
        <v>0.65</v>
      </c>
      <c r="BN37" s="207"/>
      <c r="BO37" s="207"/>
      <c r="BP37" s="1" t="s">
        <v>93</v>
      </c>
    </row>
    <row r="38" spans="5:104">
      <c r="E38" t="s">
        <v>255</v>
      </c>
      <c r="H38" s="210" t="s">
        <v>284</v>
      </c>
      <c r="I38" s="210"/>
      <c r="J38" t="s">
        <v>2</v>
      </c>
      <c r="K38" s="210" t="s">
        <v>40</v>
      </c>
      <c r="L38" s="210"/>
      <c r="M38" s="210"/>
      <c r="N38" s="13" t="s">
        <v>44</v>
      </c>
      <c r="O38" s="231" t="s">
        <v>85</v>
      </c>
      <c r="P38" s="231"/>
      <c r="R38" t="s">
        <v>2</v>
      </c>
      <c r="S38" s="207">
        <f>AD36</f>
        <v>0.13250000000000001</v>
      </c>
      <c r="T38" s="207"/>
      <c r="U38" s="207"/>
      <c r="V38" t="s">
        <v>44</v>
      </c>
      <c r="W38" s="232">
        <f>'1.設計条件'!T18</f>
        <v>23</v>
      </c>
      <c r="X38" s="184"/>
      <c r="AC38" t="s">
        <v>2</v>
      </c>
      <c r="AD38" s="207">
        <f>S38*W38</f>
        <v>3.0475000000000003</v>
      </c>
      <c r="AE38" s="207"/>
      <c r="AF38" s="207"/>
      <c r="AG38" s="1" t="s">
        <v>45</v>
      </c>
      <c r="AI38">
        <v>3</v>
      </c>
      <c r="AN38" t="s">
        <v>255</v>
      </c>
      <c r="AQ38" s="210" t="s">
        <v>284</v>
      </c>
      <c r="AR38" s="210"/>
      <c r="AS38" t="s">
        <v>2</v>
      </c>
      <c r="AT38" s="210" t="s">
        <v>40</v>
      </c>
      <c r="AU38" s="210"/>
      <c r="AV38" s="210"/>
      <c r="AW38" s="13" t="s">
        <v>44</v>
      </c>
      <c r="AX38" s="231" t="s">
        <v>85</v>
      </c>
      <c r="AY38" s="231"/>
      <c r="BA38" t="s">
        <v>2</v>
      </c>
      <c r="BB38" s="207">
        <f>BM36</f>
        <v>0.39</v>
      </c>
      <c r="BC38" s="207"/>
      <c r="BD38" s="207"/>
      <c r="BE38" t="s">
        <v>44</v>
      </c>
      <c r="BF38" s="232">
        <f>'1.設計条件'!T18</f>
        <v>23</v>
      </c>
      <c r="BG38" s="184"/>
      <c r="BL38" t="s">
        <v>2</v>
      </c>
      <c r="BM38" s="207">
        <f>BB38*BF38</f>
        <v>8.9700000000000006</v>
      </c>
      <c r="BN38" s="207"/>
      <c r="BO38" s="207"/>
      <c r="BP38" s="1" t="s">
        <v>45</v>
      </c>
      <c r="BR38">
        <v>4</v>
      </c>
      <c r="CZ38">
        <v>5</v>
      </c>
    </row>
    <row r="39" spans="5:104">
      <c r="N39" s="61"/>
      <c r="X39" s="61"/>
    </row>
  </sheetData>
  <sheetProtection sheet="1" objects="1" scenarios="1"/>
  <mergeCells count="238">
    <mergeCell ref="AD13:AF13"/>
    <mergeCell ref="AF22:AH22"/>
    <mergeCell ref="V24:X24"/>
    <mergeCell ref="AD24:AF24"/>
    <mergeCell ref="AD14:AF14"/>
    <mergeCell ref="W14:X14"/>
    <mergeCell ref="AF17:AH17"/>
    <mergeCell ref="AQ12:AR12"/>
    <mergeCell ref="BM12:BO12"/>
    <mergeCell ref="AQ13:AR13"/>
    <mergeCell ref="AT13:AV13"/>
    <mergeCell ref="AX13:AY13"/>
    <mergeCell ref="BB13:BD13"/>
    <mergeCell ref="BB12:BC12"/>
    <mergeCell ref="BE12:BF12"/>
    <mergeCell ref="BF13:BG13"/>
    <mergeCell ref="BM13:BO13"/>
    <mergeCell ref="AQ24:AR24"/>
    <mergeCell ref="AT24:AU24"/>
    <mergeCell ref="AW24:AX24"/>
    <mergeCell ref="BA24:BC24"/>
    <mergeCell ref="BE24:BG24"/>
    <mergeCell ref="BM24:BO24"/>
    <mergeCell ref="BO17:BQ17"/>
    <mergeCell ref="BO3:BQ3"/>
    <mergeCell ref="BO4:BQ4"/>
    <mergeCell ref="BO5:BQ5"/>
    <mergeCell ref="BO6:BQ6"/>
    <mergeCell ref="BO9:BQ9"/>
    <mergeCell ref="BO7:BQ7"/>
    <mergeCell ref="AQ11:AR11"/>
    <mergeCell ref="AT11:AU11"/>
    <mergeCell ref="AW11:AX11"/>
    <mergeCell ref="BA11:BC11"/>
    <mergeCell ref="BE11:BG11"/>
    <mergeCell ref="BM11:BO11"/>
    <mergeCell ref="H12:I12"/>
    <mergeCell ref="K12:L12"/>
    <mergeCell ref="N12:O12"/>
    <mergeCell ref="AF5:AH5"/>
    <mergeCell ref="AF8:AH8"/>
    <mergeCell ref="AF6:AH6"/>
    <mergeCell ref="AF10:AH10"/>
    <mergeCell ref="AF9:AH9"/>
    <mergeCell ref="AF7:AH7"/>
    <mergeCell ref="R12:T12"/>
    <mergeCell ref="V12:X12"/>
    <mergeCell ref="AD12:AF12"/>
    <mergeCell ref="AF30:AH30"/>
    <mergeCell ref="AF31:AH31"/>
    <mergeCell ref="AD26:AF26"/>
    <mergeCell ref="H14:I14"/>
    <mergeCell ref="K14:M14"/>
    <mergeCell ref="O14:P14"/>
    <mergeCell ref="S14:U14"/>
    <mergeCell ref="H26:I26"/>
    <mergeCell ref="K26:M26"/>
    <mergeCell ref="O26:P26"/>
    <mergeCell ref="S26:U26"/>
    <mergeCell ref="R24:T24"/>
    <mergeCell ref="V25:W25"/>
    <mergeCell ref="S25:T25"/>
    <mergeCell ref="AD25:AF25"/>
    <mergeCell ref="AF18:AH18"/>
    <mergeCell ref="AF19:AH19"/>
    <mergeCell ref="AF20:AH20"/>
    <mergeCell ref="AF21:AH21"/>
    <mergeCell ref="AF32:AH32"/>
    <mergeCell ref="AF34:AH34"/>
    <mergeCell ref="H36:I36"/>
    <mergeCell ref="K36:L36"/>
    <mergeCell ref="N36:O36"/>
    <mergeCell ref="R36:T36"/>
    <mergeCell ref="V36:X36"/>
    <mergeCell ref="AD36:AF36"/>
    <mergeCell ref="AF33:AH33"/>
    <mergeCell ref="AD38:AF38"/>
    <mergeCell ref="AD37:AF37"/>
    <mergeCell ref="S37:T37"/>
    <mergeCell ref="V37:W37"/>
    <mergeCell ref="Y37:Z37"/>
    <mergeCell ref="H38:I38"/>
    <mergeCell ref="K38:M38"/>
    <mergeCell ref="O38:P38"/>
    <mergeCell ref="S38:U38"/>
    <mergeCell ref="W38:X38"/>
    <mergeCell ref="H37:I37"/>
    <mergeCell ref="H13:I13"/>
    <mergeCell ref="AA27:AC27"/>
    <mergeCell ref="R13:S13"/>
    <mergeCell ref="U13:V13"/>
    <mergeCell ref="X13:Y13"/>
    <mergeCell ref="H24:I24"/>
    <mergeCell ref="K24:L24"/>
    <mergeCell ref="N24:O24"/>
    <mergeCell ref="H25:I25"/>
    <mergeCell ref="W26:X26"/>
    <mergeCell ref="BO18:BQ18"/>
    <mergeCell ref="BO19:BQ19"/>
    <mergeCell ref="BO22:BQ22"/>
    <mergeCell ref="BO20:BQ20"/>
    <mergeCell ref="AQ25:AR25"/>
    <mergeCell ref="AQ26:AR26"/>
    <mergeCell ref="AT26:AV26"/>
    <mergeCell ref="AX26:AY26"/>
    <mergeCell ref="BB26:BD26"/>
    <mergeCell ref="BF26:BG26"/>
    <mergeCell ref="BM26:BO26"/>
    <mergeCell ref="BB25:BC25"/>
    <mergeCell ref="BE25:BF25"/>
    <mergeCell ref="BH25:BI25"/>
    <mergeCell ref="BO21:BQ21"/>
    <mergeCell ref="BM25:BO25"/>
    <mergeCell ref="AQ38:AR38"/>
    <mergeCell ref="AT38:AV38"/>
    <mergeCell ref="AX38:AY38"/>
    <mergeCell ref="BB38:BD38"/>
    <mergeCell ref="BF38:BG38"/>
    <mergeCell ref="AQ37:AR37"/>
    <mergeCell ref="AX37:AY37"/>
    <mergeCell ref="BM37:BO37"/>
    <mergeCell ref="BO32:BQ32"/>
    <mergeCell ref="AQ36:AR36"/>
    <mergeCell ref="AT36:AU36"/>
    <mergeCell ref="AW36:AX36"/>
    <mergeCell ref="BA36:BC36"/>
    <mergeCell ref="BE36:BG36"/>
    <mergeCell ref="BM36:BO36"/>
    <mergeCell ref="BM38:BO38"/>
    <mergeCell ref="CG6:CI6"/>
    <mergeCell ref="CG5:CI5"/>
    <mergeCell ref="CG4:CI4"/>
    <mergeCell ref="CJ4:CL4"/>
    <mergeCell ref="CJ5:CL5"/>
    <mergeCell ref="CJ6:CL6"/>
    <mergeCell ref="CG7:CI7"/>
    <mergeCell ref="CG8:CI8"/>
    <mergeCell ref="CG9:CI9"/>
    <mergeCell ref="CJ8:CL8"/>
    <mergeCell ref="CJ9:CL9"/>
    <mergeCell ref="CA7:CF7"/>
    <mergeCell ref="CA8:CF8"/>
    <mergeCell ref="CA9:CF9"/>
    <mergeCell ref="CA10:CF10"/>
    <mergeCell ref="CA11:CF11"/>
    <mergeCell ref="CA12:CF12"/>
    <mergeCell ref="CA13:CF13"/>
    <mergeCell ref="CA14:CF14"/>
    <mergeCell ref="CI28:CK28"/>
    <mergeCell ref="CG11:CI11"/>
    <mergeCell ref="CG12:CI12"/>
    <mergeCell ref="CB19:CC19"/>
    <mergeCell ref="CE19:CG19"/>
    <mergeCell ref="CI19:CK19"/>
    <mergeCell ref="CC27:CK27"/>
    <mergeCell ref="CJ10:CL10"/>
    <mergeCell ref="CJ11:CL11"/>
    <mergeCell ref="CJ12:CL12"/>
    <mergeCell ref="CG10:CI10"/>
    <mergeCell ref="CJ7:CL7"/>
    <mergeCell ref="BZ27:CB27"/>
    <mergeCell ref="BW11:BZ11"/>
    <mergeCell ref="BW7:BZ7"/>
    <mergeCell ref="BW14:BZ14"/>
    <mergeCell ref="BX32:BY32"/>
    <mergeCell ref="BX33:BY33"/>
    <mergeCell ref="BX34:BY34"/>
    <mergeCell ref="BX29:BY29"/>
    <mergeCell ref="BO31:BQ31"/>
    <mergeCell ref="BZ35:CB35"/>
    <mergeCell ref="BZ28:CB28"/>
    <mergeCell ref="BZ29:CB29"/>
    <mergeCell ref="BZ30:CB30"/>
    <mergeCell ref="BZ31:CB31"/>
    <mergeCell ref="BZ32:CB32"/>
    <mergeCell ref="BZ33:CB33"/>
    <mergeCell ref="BZ34:CB34"/>
    <mergeCell ref="BO29:BQ29"/>
    <mergeCell ref="BO30:BQ30"/>
    <mergeCell ref="BW35:BY35"/>
    <mergeCell ref="BX31:BY31"/>
    <mergeCell ref="BX30:BY30"/>
    <mergeCell ref="CM4:CO4"/>
    <mergeCell ref="CM5:CO5"/>
    <mergeCell ref="CM6:CO6"/>
    <mergeCell ref="CM7:CO7"/>
    <mergeCell ref="CM8:CO8"/>
    <mergeCell ref="CM9:CO9"/>
    <mergeCell ref="CM10:CO10"/>
    <mergeCell ref="CM11:CO11"/>
    <mergeCell ref="CM12:CO12"/>
    <mergeCell ref="CN19:CP19"/>
    <mergeCell ref="CM13:CO13"/>
    <mergeCell ref="CM14:CO14"/>
    <mergeCell ref="CB17:CC17"/>
    <mergeCell ref="CE17:CG17"/>
    <mergeCell ref="CI17:CK17"/>
    <mergeCell ref="CN17:CP17"/>
    <mergeCell ref="CB18:CC18"/>
    <mergeCell ref="CE18:CG18"/>
    <mergeCell ref="CI18:CK18"/>
    <mergeCell ref="CN18:CP18"/>
    <mergeCell ref="CG13:CI13"/>
    <mergeCell ref="CG14:CI14"/>
    <mergeCell ref="CJ13:CL13"/>
    <mergeCell ref="CJ14:CL14"/>
    <mergeCell ref="CI35:CK35"/>
    <mergeCell ref="CL27:CN27"/>
    <mergeCell ref="CL28:CN28"/>
    <mergeCell ref="CL29:CN29"/>
    <mergeCell ref="CL30:CN30"/>
    <mergeCell ref="CL31:CN31"/>
    <mergeCell ref="CL32:CN32"/>
    <mergeCell ref="CL33:CN33"/>
    <mergeCell ref="CL34:CN34"/>
    <mergeCell ref="CL35:CN35"/>
    <mergeCell ref="CI31:CK31"/>
    <mergeCell ref="CI32:CK32"/>
    <mergeCell ref="CI33:CK33"/>
    <mergeCell ref="CI34:CK34"/>
    <mergeCell ref="CI29:CK29"/>
    <mergeCell ref="CI30:CK30"/>
    <mergeCell ref="CC35:CE35"/>
    <mergeCell ref="CF28:CH28"/>
    <mergeCell ref="CF29:CH29"/>
    <mergeCell ref="CF30:CH30"/>
    <mergeCell ref="CF31:CH31"/>
    <mergeCell ref="CF32:CH32"/>
    <mergeCell ref="CF33:CH33"/>
    <mergeCell ref="CF34:CH34"/>
    <mergeCell ref="CF35:CH35"/>
    <mergeCell ref="CC28:CE28"/>
    <mergeCell ref="CC29:CE29"/>
    <mergeCell ref="CC30:CE30"/>
    <mergeCell ref="CC31:CE31"/>
    <mergeCell ref="CC32:CE32"/>
    <mergeCell ref="CC33:CE33"/>
    <mergeCell ref="CC34:CE34"/>
  </mergeCells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24944-7B32-4959-AAF4-0AEA5B87322C}">
  <dimension ref="B2:BR42"/>
  <sheetViews>
    <sheetView showGridLines="0" view="pageBreakPreview" zoomScale="70" zoomScaleNormal="65" zoomScaleSheetLayoutView="70" workbookViewId="0">
      <selection activeCell="A2" sqref="A2"/>
    </sheetView>
  </sheetViews>
  <sheetFormatPr defaultRowHeight="18"/>
  <cols>
    <col min="1" max="70" width="3" customWidth="1"/>
  </cols>
  <sheetData>
    <row r="2" spans="2:68">
      <c r="B2" t="s">
        <v>449</v>
      </c>
      <c r="AN2" s="240" t="s">
        <v>68</v>
      </c>
      <c r="AO2" s="240"/>
      <c r="AP2" s="241" t="s">
        <v>159</v>
      </c>
      <c r="AQ2" s="241"/>
      <c r="AR2" s="241"/>
      <c r="AS2" s="241" t="s">
        <v>48</v>
      </c>
      <c r="AT2" s="241"/>
      <c r="AU2" s="241"/>
      <c r="AV2" s="241" t="s">
        <v>47</v>
      </c>
      <c r="AW2" s="241"/>
      <c r="AX2" s="241"/>
    </row>
    <row r="3" spans="2:68">
      <c r="C3" t="s">
        <v>46</v>
      </c>
      <c r="V3" s="35" t="s">
        <v>242</v>
      </c>
      <c r="W3" s="36"/>
      <c r="X3" s="36"/>
      <c r="Y3" s="36"/>
      <c r="Z3" s="36"/>
      <c r="AA3" s="36"/>
      <c r="AB3" s="36"/>
      <c r="AC3" s="37" t="s">
        <v>35</v>
      </c>
      <c r="AD3" s="36"/>
      <c r="AE3" s="36" t="s">
        <v>2</v>
      </c>
      <c r="AF3" s="178">
        <f>'1.設計条件'!T5</f>
        <v>6.1</v>
      </c>
      <c r="AG3" s="178"/>
      <c r="AH3" s="178"/>
      <c r="AI3" s="38" t="s">
        <v>3</v>
      </c>
      <c r="AL3" s="1" t="str">
        <f t="shared" ref="AL3:AL16" si="0">IF(MAX(AV$3:AV$16)=AV3, 1,"")</f>
        <v/>
      </c>
      <c r="AN3" s="197">
        <v>45</v>
      </c>
      <c r="AO3" s="197"/>
      <c r="AP3" s="196">
        <f t="shared" ref="AP3:AP16" si="1">(F$36/TAN(AN3*PI()/180))+J$36</f>
        <v>3.6600000000000006</v>
      </c>
      <c r="AQ3" s="196"/>
      <c r="AR3" s="196"/>
      <c r="AS3" s="196">
        <f t="shared" ref="AS3:AS16" si="2">AC$29*AP3</f>
        <v>248.697</v>
      </c>
      <c r="AT3" s="196"/>
      <c r="AU3" s="196"/>
      <c r="AV3" s="196">
        <f t="shared" ref="AV3:AV16" si="3">AS3*SIN((AN3-AG$26)*PI()/180)/COS((AN3-AE$27)*PI()/180)</f>
        <v>43.661618784574109</v>
      </c>
      <c r="AW3" s="196"/>
      <c r="AX3" s="196"/>
    </row>
    <row r="4" spans="2:68">
      <c r="C4" s="210" t="s">
        <v>47</v>
      </c>
      <c r="D4" s="210"/>
      <c r="E4" s="234" t="s">
        <v>2</v>
      </c>
      <c r="F4" s="11" t="s">
        <v>48</v>
      </c>
      <c r="G4" s="10" t="s">
        <v>49</v>
      </c>
      <c r="H4" s="235" t="s">
        <v>81</v>
      </c>
      <c r="I4" s="235"/>
      <c r="J4" s="235"/>
      <c r="K4" s="235"/>
      <c r="V4" s="5" t="s">
        <v>4</v>
      </c>
      <c r="AC4" s="2" t="s">
        <v>37</v>
      </c>
      <c r="AE4" t="s">
        <v>2</v>
      </c>
      <c r="AF4" s="207">
        <f>'1.設計条件'!T7</f>
        <v>1.1000000000000001</v>
      </c>
      <c r="AG4" s="207"/>
      <c r="AH4" s="207"/>
      <c r="AI4" s="39" t="s">
        <v>3</v>
      </c>
      <c r="AL4" s="1" t="str">
        <f t="shared" si="0"/>
        <v/>
      </c>
      <c r="AN4" s="197">
        <v>46</v>
      </c>
      <c r="AO4" s="197"/>
      <c r="AP4" s="180">
        <f t="shared" si="1"/>
        <v>3.4507015263231522</v>
      </c>
      <c r="AQ4" s="181"/>
      <c r="AR4" s="182"/>
      <c r="AS4" s="196">
        <f t="shared" si="2"/>
        <v>234.47516871365815</v>
      </c>
      <c r="AT4" s="196"/>
      <c r="AU4" s="196"/>
      <c r="AV4" s="196">
        <f t="shared" si="3"/>
        <v>45.357676928031871</v>
      </c>
      <c r="AW4" s="196"/>
      <c r="AX4" s="196"/>
    </row>
    <row r="5" spans="2:68">
      <c r="C5" s="210"/>
      <c r="D5" s="210"/>
      <c r="E5" s="234"/>
      <c r="F5" s="236" t="s">
        <v>82</v>
      </c>
      <c r="G5" s="236"/>
      <c r="H5" s="236"/>
      <c r="I5" s="236"/>
      <c r="J5" s="236"/>
      <c r="K5" s="236"/>
      <c r="V5" s="5" t="s">
        <v>290</v>
      </c>
      <c r="AC5" s="2" t="s">
        <v>36</v>
      </c>
      <c r="AE5" t="s">
        <v>2</v>
      </c>
      <c r="AF5" s="207">
        <f>'1.設計条件'!T9</f>
        <v>1.3</v>
      </c>
      <c r="AG5" s="207"/>
      <c r="AH5" s="207"/>
      <c r="AI5" s="39" t="s">
        <v>3</v>
      </c>
      <c r="AL5" s="1" t="str">
        <f t="shared" si="0"/>
        <v/>
      </c>
      <c r="AN5" s="197">
        <v>47</v>
      </c>
      <c r="AO5" s="197"/>
      <c r="AP5" s="180">
        <f t="shared" si="1"/>
        <v>3.2483420254397362</v>
      </c>
      <c r="AQ5" s="181"/>
      <c r="AR5" s="182"/>
      <c r="AS5" s="196">
        <f t="shared" si="2"/>
        <v>220.72484062863003</v>
      </c>
      <c r="AT5" s="196"/>
      <c r="AU5" s="196"/>
      <c r="AV5" s="196">
        <f t="shared" si="3"/>
        <v>46.667791331226809</v>
      </c>
      <c r="AW5" s="196"/>
      <c r="AX5" s="196"/>
      <c r="AZ5" t="s">
        <v>120</v>
      </c>
      <c r="BJ5" s="231" t="s">
        <v>68</v>
      </c>
      <c r="BK5" s="231"/>
      <c r="BL5" t="s">
        <v>2</v>
      </c>
      <c r="BM5" s="232">
        <f>VLOOKUP(1,AL3:AX16,3)</f>
        <v>50</v>
      </c>
      <c r="BN5" s="232"/>
      <c r="BO5" s="232"/>
      <c r="BP5" t="s">
        <v>18</v>
      </c>
    </row>
    <row r="6" spans="2:68">
      <c r="V6" s="5" t="s">
        <v>296</v>
      </c>
      <c r="AA6" s="1"/>
      <c r="AC6" s="2" t="s">
        <v>243</v>
      </c>
      <c r="AE6" t="s">
        <v>2</v>
      </c>
      <c r="AF6" s="207">
        <f>'1.設計条件'!T10</f>
        <v>0.3</v>
      </c>
      <c r="AG6" s="207"/>
      <c r="AH6" s="207"/>
      <c r="AI6" s="39" t="s">
        <v>3</v>
      </c>
      <c r="AL6" s="1" t="str">
        <f t="shared" si="0"/>
        <v/>
      </c>
      <c r="AN6" s="197">
        <v>48</v>
      </c>
      <c r="AO6" s="197"/>
      <c r="AP6" s="180">
        <f t="shared" si="1"/>
        <v>3.0524646702168243</v>
      </c>
      <c r="AQ6" s="181"/>
      <c r="AR6" s="182"/>
      <c r="AS6" s="196">
        <f t="shared" si="2"/>
        <v>207.41497434123318</v>
      </c>
      <c r="AT6" s="196"/>
      <c r="AU6" s="196"/>
      <c r="AV6" s="196">
        <f t="shared" si="3"/>
        <v>47.608456906266298</v>
      </c>
      <c r="AW6" s="196"/>
      <c r="AX6" s="196"/>
    </row>
    <row r="7" spans="2:68">
      <c r="C7" s="210" t="s">
        <v>48</v>
      </c>
      <c r="D7" s="210"/>
      <c r="E7" s="234" t="s">
        <v>2</v>
      </c>
      <c r="F7" s="11" t="s">
        <v>159</v>
      </c>
      <c r="G7" s="10" t="s">
        <v>49</v>
      </c>
      <c r="H7" s="12" t="s">
        <v>35</v>
      </c>
      <c r="I7" s="234" t="s">
        <v>49</v>
      </c>
      <c r="J7" s="231" t="s">
        <v>84</v>
      </c>
      <c r="K7" s="231"/>
      <c r="L7" s="234" t="s">
        <v>50</v>
      </c>
      <c r="M7" s="210" t="s">
        <v>28</v>
      </c>
      <c r="N7" s="234" t="s">
        <v>49</v>
      </c>
      <c r="O7" s="210" t="s">
        <v>159</v>
      </c>
      <c r="V7" s="5" t="s">
        <v>297</v>
      </c>
      <c r="AC7" s="2" t="s">
        <v>299</v>
      </c>
      <c r="AE7" t="s">
        <v>2</v>
      </c>
      <c r="AF7" s="207">
        <f>'1.設計条件'!T12</f>
        <v>0.1</v>
      </c>
      <c r="AG7" s="207"/>
      <c r="AH7" s="207"/>
      <c r="AI7" s="39" t="s">
        <v>3</v>
      </c>
      <c r="AL7" s="1" t="str">
        <f t="shared" si="0"/>
        <v/>
      </c>
      <c r="AN7" s="197">
        <v>49</v>
      </c>
      <c r="AO7" s="197"/>
      <c r="AP7" s="180">
        <f t="shared" si="1"/>
        <v>2.8626491006789831</v>
      </c>
      <c r="AQ7" s="181"/>
      <c r="AR7" s="182"/>
      <c r="AS7" s="196">
        <f t="shared" si="2"/>
        <v>194.51700639113687</v>
      </c>
      <c r="AT7" s="196"/>
      <c r="AU7" s="196"/>
      <c r="AV7" s="196">
        <f t="shared" si="3"/>
        <v>48.194258644118825</v>
      </c>
      <c r="AW7" s="196"/>
      <c r="AX7" s="196"/>
      <c r="BJ7" s="210" t="s">
        <v>159</v>
      </c>
      <c r="BK7" s="210"/>
      <c r="BL7" t="s">
        <v>2</v>
      </c>
      <c r="BM7" s="207">
        <f>VLOOKUP(1,AL3:AX16,5)</f>
        <v>2.6785077501814079</v>
      </c>
      <c r="BN7" s="207"/>
      <c r="BO7" s="207"/>
      <c r="BP7" s="1" t="s">
        <v>3</v>
      </c>
    </row>
    <row r="8" spans="2:68">
      <c r="C8" s="210"/>
      <c r="D8" s="210"/>
      <c r="E8" s="234"/>
      <c r="G8" s="1">
        <v>2</v>
      </c>
      <c r="I8" s="234"/>
      <c r="J8" s="231"/>
      <c r="K8" s="231"/>
      <c r="L8" s="234"/>
      <c r="M8" s="210"/>
      <c r="N8" s="234"/>
      <c r="O8" s="210"/>
      <c r="V8" s="7" t="s">
        <v>295</v>
      </c>
      <c r="W8" s="10"/>
      <c r="X8" s="10"/>
      <c r="Y8" s="10"/>
      <c r="Z8" s="10"/>
      <c r="AA8" s="19">
        <v>1</v>
      </c>
      <c r="AB8" s="10" t="s">
        <v>6</v>
      </c>
      <c r="AC8" s="69" t="s">
        <v>246</v>
      </c>
      <c r="AD8" s="10"/>
      <c r="AE8" s="10"/>
      <c r="AF8" s="244">
        <f>'1.設計条件'!T13</f>
        <v>0.4</v>
      </c>
      <c r="AG8" s="244"/>
      <c r="AH8" s="244"/>
      <c r="AI8" s="40"/>
      <c r="AL8" s="1">
        <f t="shared" si="0"/>
        <v>1</v>
      </c>
      <c r="AN8" s="197">
        <v>50</v>
      </c>
      <c r="AO8" s="197"/>
      <c r="AP8" s="180">
        <f t="shared" si="1"/>
        <v>2.6785077501814079</v>
      </c>
      <c r="AQ8" s="181"/>
      <c r="AR8" s="182"/>
      <c r="AS8" s="196">
        <f t="shared" si="2"/>
        <v>182.00460162482662</v>
      </c>
      <c r="AT8" s="196"/>
      <c r="AU8" s="196"/>
      <c r="AV8" s="196">
        <f t="shared" si="3"/>
        <v>48.43803337077113</v>
      </c>
      <c r="AW8" s="196"/>
      <c r="AX8" s="196"/>
      <c r="BJ8" s="2"/>
      <c r="BK8" s="2"/>
      <c r="BM8" s="22"/>
      <c r="BN8" s="22"/>
      <c r="BO8" s="22"/>
      <c r="BP8" s="1"/>
    </row>
    <row r="9" spans="2:68">
      <c r="AL9" s="1" t="str">
        <f t="shared" si="0"/>
        <v/>
      </c>
      <c r="AN9" s="197">
        <v>51</v>
      </c>
      <c r="AO9" s="197"/>
      <c r="AP9" s="180">
        <f t="shared" si="1"/>
        <v>2.4996826024895449</v>
      </c>
      <c r="AQ9" s="181"/>
      <c r="AR9" s="182"/>
      <c r="AS9" s="196">
        <f t="shared" si="2"/>
        <v>169.85343283916455</v>
      </c>
      <c r="AT9" s="196"/>
      <c r="AU9" s="196"/>
      <c r="AV9" s="196">
        <f t="shared" si="3"/>
        <v>48.351009717511324</v>
      </c>
      <c r="AW9" s="196"/>
      <c r="AX9" s="196"/>
      <c r="BJ9" s="210" t="s">
        <v>48</v>
      </c>
      <c r="BK9" s="210"/>
      <c r="BL9" t="s">
        <v>2</v>
      </c>
      <c r="BM9" s="207">
        <f>VLOOKUP(1,AL3:AX16,8)</f>
        <v>182.00460162482662</v>
      </c>
      <c r="BN9" s="207"/>
      <c r="BO9" s="207"/>
      <c r="BP9" s="20" t="s">
        <v>75</v>
      </c>
    </row>
    <row r="10" spans="2:68">
      <c r="C10" s="210" t="s">
        <v>159</v>
      </c>
      <c r="D10" s="210"/>
      <c r="E10" s="234" t="s">
        <v>2</v>
      </c>
      <c r="F10" s="234" t="s">
        <v>42</v>
      </c>
      <c r="G10" s="10"/>
      <c r="H10" s="16">
        <v>1</v>
      </c>
      <c r="I10" s="10"/>
      <c r="J10" s="234" t="s">
        <v>50</v>
      </c>
      <c r="K10" s="231" t="s">
        <v>52</v>
      </c>
      <c r="L10" s="231"/>
      <c r="M10" s="231"/>
      <c r="N10" s="234" t="s">
        <v>43</v>
      </c>
      <c r="O10" s="234" t="s">
        <v>44</v>
      </c>
      <c r="P10" s="210" t="s">
        <v>35</v>
      </c>
      <c r="V10" s="35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41"/>
      <c r="AL10" s="1" t="str">
        <f t="shared" si="0"/>
        <v/>
      </c>
      <c r="AN10" s="197">
        <v>52</v>
      </c>
      <c r="AO10" s="197"/>
      <c r="AP10" s="180">
        <f t="shared" si="1"/>
        <v>2.3258423216909763</v>
      </c>
      <c r="AQ10" s="181"/>
      <c r="AR10" s="182"/>
      <c r="AS10" s="196">
        <f t="shared" si="2"/>
        <v>158.0409857589018</v>
      </c>
      <c r="AT10" s="196"/>
      <c r="AU10" s="196"/>
      <c r="AV10" s="196">
        <f t="shared" si="3"/>
        <v>47.942929010895845</v>
      </c>
      <c r="AW10" s="196"/>
      <c r="AX10" s="196"/>
      <c r="BJ10" s="2"/>
      <c r="BK10" s="2"/>
      <c r="BM10" s="22"/>
      <c r="BN10" s="22"/>
      <c r="BO10" s="22"/>
      <c r="BP10" s="1"/>
    </row>
    <row r="11" spans="2:68">
      <c r="C11" s="210"/>
      <c r="D11" s="210"/>
      <c r="E11" s="234"/>
      <c r="F11" s="234"/>
      <c r="G11" s="231" t="s">
        <v>62</v>
      </c>
      <c r="H11" s="231"/>
      <c r="I11" s="231"/>
      <c r="J11" s="234"/>
      <c r="K11" s="231"/>
      <c r="L11" s="231"/>
      <c r="M11" s="231"/>
      <c r="N11" s="234"/>
      <c r="O11" s="234"/>
      <c r="P11" s="210"/>
      <c r="V11" s="5"/>
      <c r="AI11" s="6"/>
      <c r="AL11" s="1" t="str">
        <f t="shared" si="0"/>
        <v/>
      </c>
      <c r="AN11" s="197">
        <v>53</v>
      </c>
      <c r="AO11" s="197"/>
      <c r="AP11" s="180">
        <f t="shared" si="1"/>
        <v>2.1566797056270448</v>
      </c>
      <c r="AQ11" s="181"/>
      <c r="AR11" s="182"/>
      <c r="AS11" s="196">
        <f t="shared" si="2"/>
        <v>146.54638599735767</v>
      </c>
      <c r="AT11" s="196"/>
      <c r="AU11" s="196"/>
      <c r="AV11" s="196">
        <f t="shared" si="3"/>
        <v>47.22214935301146</v>
      </c>
      <c r="AW11" s="196"/>
      <c r="AX11" s="196"/>
      <c r="AZ11" t="s">
        <v>69</v>
      </c>
      <c r="BJ11" s="210" t="s">
        <v>322</v>
      </c>
      <c r="BK11" s="210"/>
      <c r="BL11" t="s">
        <v>2</v>
      </c>
      <c r="BM11" s="207">
        <f>VLOOKUP(1,AL3:AX16,11)</f>
        <v>48.43803337077113</v>
      </c>
      <c r="BN11" s="207"/>
      <c r="BO11" s="207"/>
      <c r="BP11" s="20" t="s">
        <v>75</v>
      </c>
    </row>
    <row r="12" spans="2:68">
      <c r="C12" t="s">
        <v>53</v>
      </c>
      <c r="M12" s="4"/>
      <c r="N12" s="4"/>
      <c r="O12" s="4"/>
      <c r="P12" s="9"/>
      <c r="V12" s="5"/>
      <c r="AI12" s="6"/>
      <c r="AL12" s="1" t="str">
        <f t="shared" si="0"/>
        <v/>
      </c>
      <c r="AN12" s="197">
        <v>54</v>
      </c>
      <c r="AO12" s="197"/>
      <c r="AP12" s="180">
        <f t="shared" si="1"/>
        <v>1.9919094208327022</v>
      </c>
      <c r="AQ12" s="181"/>
      <c r="AR12" s="182"/>
      <c r="AS12" s="196">
        <f t="shared" si="2"/>
        <v>135.35024514558208</v>
      </c>
      <c r="AT12" s="196"/>
      <c r="AU12" s="196"/>
      <c r="AV12" s="196">
        <f t="shared" si="3"/>
        <v>46.195734797120942</v>
      </c>
      <c r="AW12" s="196"/>
      <c r="AX12" s="196"/>
      <c r="AY12" s="14"/>
      <c r="AZ12" s="14"/>
      <c r="BA12" s="14"/>
      <c r="BB12" s="14"/>
      <c r="BC12" s="14"/>
    </row>
    <row r="13" spans="2:68">
      <c r="C13" s="210" t="s">
        <v>47</v>
      </c>
      <c r="D13" s="210"/>
      <c r="E13" t="s">
        <v>54</v>
      </c>
      <c r="V13" s="5"/>
      <c r="AI13" s="6"/>
      <c r="AL13" s="1" t="str">
        <f t="shared" si="0"/>
        <v/>
      </c>
      <c r="AN13" s="197">
        <v>55</v>
      </c>
      <c r="AO13" s="197"/>
      <c r="AP13" s="180">
        <f t="shared" si="1"/>
        <v>1.8312659830792302</v>
      </c>
      <c r="AQ13" s="181"/>
      <c r="AR13" s="182"/>
      <c r="AS13" s="196">
        <f t="shared" si="2"/>
        <v>124.43452355023366</v>
      </c>
      <c r="AT13" s="196"/>
      <c r="AU13" s="196"/>
      <c r="AV13" s="196">
        <f t="shared" si="3"/>
        <v>44.869531214628005</v>
      </c>
      <c r="AW13" s="196"/>
      <c r="AX13" s="196"/>
    </row>
    <row r="14" spans="2:68">
      <c r="C14" s="210" t="s">
        <v>48</v>
      </c>
      <c r="D14" s="210"/>
      <c r="E14" t="s">
        <v>55</v>
      </c>
      <c r="V14" s="5"/>
      <c r="AI14" s="6"/>
      <c r="AL14" s="1" t="str">
        <f t="shared" si="0"/>
        <v/>
      </c>
      <c r="AM14" s="14"/>
      <c r="AN14" s="197">
        <v>56</v>
      </c>
      <c r="AO14" s="197"/>
      <c r="AP14" s="180">
        <f t="shared" si="1"/>
        <v>1.6745019527388023</v>
      </c>
      <c r="AQ14" s="181"/>
      <c r="AR14" s="182"/>
      <c r="AS14" s="196">
        <f t="shared" si="2"/>
        <v>113.78240768860159</v>
      </c>
      <c r="AT14" s="196"/>
      <c r="AU14" s="196"/>
      <c r="AV14" s="196">
        <f t="shared" si="3"/>
        <v>43.248230185945772</v>
      </c>
      <c r="AW14" s="196"/>
      <c r="AX14" s="196"/>
      <c r="AY14" s="14"/>
      <c r="AZ14" s="14"/>
      <c r="BA14" s="14"/>
      <c r="BB14" s="14"/>
      <c r="BC14" s="14"/>
    </row>
    <row r="15" spans="2:68">
      <c r="C15" s="237" t="s">
        <v>159</v>
      </c>
      <c r="D15" s="237"/>
      <c r="E15" s="14" t="s">
        <v>160</v>
      </c>
      <c r="F15" s="14"/>
      <c r="V15" s="5"/>
      <c r="AI15" s="6"/>
      <c r="AL15" s="1" t="str">
        <f t="shared" si="0"/>
        <v/>
      </c>
      <c r="AN15" s="197">
        <v>57</v>
      </c>
      <c r="AO15" s="197"/>
      <c r="AP15" s="180">
        <f t="shared" si="1"/>
        <v>1.5213863185048146</v>
      </c>
      <c r="AQ15" s="181"/>
      <c r="AR15" s="182"/>
      <c r="AS15" s="196">
        <f t="shared" si="2"/>
        <v>103.37820034240214</v>
      </c>
      <c r="AT15" s="196"/>
      <c r="AU15" s="196"/>
      <c r="AV15" s="196">
        <f t="shared" si="3"/>
        <v>41.335422021709483</v>
      </c>
      <c r="AW15" s="196"/>
      <c r="AX15" s="196"/>
    </row>
    <row r="16" spans="2:68">
      <c r="C16" s="231" t="s">
        <v>68</v>
      </c>
      <c r="D16" s="231"/>
      <c r="E16" t="s">
        <v>57</v>
      </c>
      <c r="V16" s="5"/>
      <c r="AI16" s="6"/>
      <c r="AL16" s="1" t="str">
        <f t="shared" si="0"/>
        <v/>
      </c>
      <c r="AN16" s="197">
        <v>58</v>
      </c>
      <c r="AO16" s="197"/>
      <c r="AP16" s="180">
        <f t="shared" si="1"/>
        <v>1.3717030466468967</v>
      </c>
      <c r="AQ16" s="181"/>
      <c r="AR16" s="182"/>
      <c r="AS16" s="196">
        <f t="shared" si="2"/>
        <v>93.207222019656612</v>
      </c>
      <c r="AT16" s="196"/>
      <c r="AU16" s="196"/>
      <c r="AV16" s="196">
        <f t="shared" si="3"/>
        <v>39.133638824780313</v>
      </c>
      <c r="AW16" s="196"/>
      <c r="AX16" s="196"/>
      <c r="AY16" s="14"/>
      <c r="AZ16" s="14"/>
      <c r="BA16" s="14"/>
      <c r="BB16" s="14"/>
      <c r="BC16" s="14"/>
    </row>
    <row r="17" spans="3:70">
      <c r="C17" s="231" t="s">
        <v>16</v>
      </c>
      <c r="D17" s="231"/>
      <c r="E17" t="s">
        <v>58</v>
      </c>
      <c r="P17" s="17" t="s">
        <v>16</v>
      </c>
      <c r="Q17" t="s">
        <v>2</v>
      </c>
      <c r="R17" s="184">
        <f>'1.設計条件'!T25</f>
        <v>35</v>
      </c>
      <c r="S17" s="184"/>
      <c r="T17" t="s">
        <v>18</v>
      </c>
      <c r="V17" s="5"/>
      <c r="AI17" s="6"/>
      <c r="AV17" s="14"/>
    </row>
    <row r="18" spans="3:70">
      <c r="C18" s="231" t="s">
        <v>56</v>
      </c>
      <c r="D18" s="231"/>
      <c r="E18" t="s">
        <v>59</v>
      </c>
      <c r="V18" s="5"/>
      <c r="AI18" s="6"/>
      <c r="AM18" s="14" t="s">
        <v>70</v>
      </c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35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41"/>
    </row>
    <row r="19" spans="3:70">
      <c r="E19" s="17" t="s">
        <v>56</v>
      </c>
      <c r="F19" t="s">
        <v>2</v>
      </c>
      <c r="G19" s="231" t="s">
        <v>86</v>
      </c>
      <c r="H19" s="231"/>
      <c r="I19" s="2" t="s">
        <v>246</v>
      </c>
      <c r="K19" t="s">
        <v>2</v>
      </c>
      <c r="L19" s="231" t="s">
        <v>86</v>
      </c>
      <c r="M19" s="231"/>
      <c r="N19" s="250">
        <f>AF8</f>
        <v>0.4</v>
      </c>
      <c r="O19" s="250"/>
      <c r="P19" t="s">
        <v>2</v>
      </c>
      <c r="Q19" s="233">
        <f>-ROUND(ATAN(N19)*180/PI(),2)</f>
        <v>-21.8</v>
      </c>
      <c r="R19" s="233"/>
      <c r="S19" s="233"/>
      <c r="T19" t="s">
        <v>18</v>
      </c>
      <c r="V19" s="5"/>
      <c r="AI19" s="6"/>
      <c r="AM19" s="245" t="s">
        <v>71</v>
      </c>
      <c r="AN19" s="245"/>
      <c r="AO19" s="15" t="s">
        <v>2</v>
      </c>
      <c r="AP19" s="237" t="s">
        <v>322</v>
      </c>
      <c r="AQ19" s="237"/>
      <c r="AR19" s="246" t="s">
        <v>79</v>
      </c>
      <c r="AS19" s="246"/>
      <c r="AT19" s="246"/>
      <c r="AU19" s="246"/>
      <c r="BD19" s="5"/>
      <c r="BR19" s="6"/>
    </row>
    <row r="20" spans="3:70">
      <c r="C20" s="231" t="s">
        <v>60</v>
      </c>
      <c r="D20" s="231"/>
      <c r="E20" t="s">
        <v>61</v>
      </c>
      <c r="V20" s="5"/>
      <c r="AI20" s="6"/>
      <c r="AO20" s="15" t="s">
        <v>2</v>
      </c>
      <c r="AP20" s="247">
        <f>BM11</f>
        <v>48.43803337077113</v>
      </c>
      <c r="AQ20" s="247"/>
      <c r="AR20" s="247"/>
      <c r="AS20" s="246" t="s">
        <v>72</v>
      </c>
      <c r="AT20" s="246"/>
      <c r="AU20" s="246"/>
      <c r="AV20" s="248">
        <f>Q19</f>
        <v>-21.8</v>
      </c>
      <c r="AW20" s="248"/>
      <c r="AX20" s="248"/>
      <c r="AY20" s="15" t="s">
        <v>73</v>
      </c>
      <c r="AZ20" s="248">
        <f>O21</f>
        <v>23.333333333333332</v>
      </c>
      <c r="BA20" s="248"/>
      <c r="BB20" s="248"/>
      <c r="BC20" s="14" t="s">
        <v>74</v>
      </c>
      <c r="BD20" s="5"/>
      <c r="BR20" s="6"/>
    </row>
    <row r="21" spans="3:70">
      <c r="E21" s="231" t="s">
        <v>60</v>
      </c>
      <c r="F21" s="234" t="s">
        <v>2</v>
      </c>
      <c r="G21" s="16">
        <v>2</v>
      </c>
      <c r="H21" s="231" t="s">
        <v>16</v>
      </c>
      <c r="J21" s="234" t="s">
        <v>2</v>
      </c>
      <c r="K21" s="16">
        <v>2</v>
      </c>
      <c r="L21" s="184">
        <f>R17</f>
        <v>35</v>
      </c>
      <c r="M21" s="184"/>
      <c r="N21" s="234" t="s">
        <v>2</v>
      </c>
      <c r="O21" s="233">
        <f>K21/K22*L21</f>
        <v>23.333333333333332</v>
      </c>
      <c r="P21" s="233"/>
      <c r="Q21" s="234" t="s">
        <v>18</v>
      </c>
      <c r="V21" s="5"/>
      <c r="AI21" s="6"/>
      <c r="AO21" s="15" t="s">
        <v>2</v>
      </c>
      <c r="AP21" s="247">
        <f>AP20*COS((AV20+AZ20)*PI()/180)</f>
        <v>48.420689002926842</v>
      </c>
      <c r="AQ21" s="247"/>
      <c r="AR21" s="247"/>
      <c r="AS21" s="20" t="s">
        <v>75</v>
      </c>
      <c r="AT21" s="14"/>
      <c r="BD21" s="5"/>
      <c r="BR21" s="6"/>
    </row>
    <row r="22" spans="3:70">
      <c r="E22" s="231"/>
      <c r="F22" s="234"/>
      <c r="G22" s="13">
        <v>3</v>
      </c>
      <c r="H22" s="231"/>
      <c r="J22" s="234"/>
      <c r="K22" s="13">
        <v>3</v>
      </c>
      <c r="L22" s="184"/>
      <c r="M22" s="184"/>
      <c r="N22" s="234"/>
      <c r="O22" s="233"/>
      <c r="P22" s="233"/>
      <c r="Q22" s="234"/>
      <c r="V22" s="5"/>
      <c r="AI22" s="6"/>
      <c r="BD22" s="5"/>
      <c r="BR22" s="6"/>
    </row>
    <row r="23" spans="3:70">
      <c r="V23" s="5"/>
      <c r="AI23" s="6"/>
      <c r="AM23" s="14" t="s">
        <v>76</v>
      </c>
      <c r="AN23" s="14"/>
      <c r="AO23" s="14"/>
      <c r="AP23" s="14"/>
      <c r="AQ23" s="14"/>
      <c r="AR23" s="14"/>
      <c r="AS23" s="14"/>
      <c r="AT23" s="14"/>
      <c r="AU23" s="14"/>
      <c r="BD23" s="5"/>
      <c r="BR23" s="6"/>
    </row>
    <row r="24" spans="3:70">
      <c r="V24" s="7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8"/>
      <c r="AM24" s="245" t="s">
        <v>77</v>
      </c>
      <c r="AN24" s="245"/>
      <c r="AO24" s="15" t="s">
        <v>2</v>
      </c>
      <c r="AP24" s="237" t="s">
        <v>322</v>
      </c>
      <c r="AQ24" s="237"/>
      <c r="AR24" s="246" t="s">
        <v>80</v>
      </c>
      <c r="AS24" s="246"/>
      <c r="AT24" s="246"/>
      <c r="AU24" s="246"/>
      <c r="BD24" s="5"/>
      <c r="BR24" s="6"/>
    </row>
    <row r="25" spans="3:70">
      <c r="C25" t="s">
        <v>63</v>
      </c>
      <c r="AI25" s="1"/>
      <c r="AO25" s="15" t="s">
        <v>2</v>
      </c>
      <c r="AP25" s="247">
        <f>BM11</f>
        <v>48.43803337077113</v>
      </c>
      <c r="AQ25" s="247"/>
      <c r="AR25" s="247"/>
      <c r="AS25" s="246" t="s">
        <v>78</v>
      </c>
      <c r="AT25" s="246"/>
      <c r="AU25" s="246"/>
      <c r="AV25" s="251">
        <f>Q19</f>
        <v>-21.8</v>
      </c>
      <c r="AW25" s="251"/>
      <c r="AX25" s="251"/>
      <c r="AY25" s="15" t="s">
        <v>73</v>
      </c>
      <c r="AZ25" s="248">
        <f>O21</f>
        <v>23.333333333333332</v>
      </c>
      <c r="BA25" s="248"/>
      <c r="BB25" s="248"/>
      <c r="BC25" s="14" t="s">
        <v>74</v>
      </c>
      <c r="BD25" s="5"/>
      <c r="BR25" s="6"/>
    </row>
    <row r="26" spans="3:70">
      <c r="C26" s="210" t="s">
        <v>47</v>
      </c>
      <c r="D26" s="210"/>
      <c r="E26" s="234" t="s">
        <v>2</v>
      </c>
      <c r="F26" s="11" t="s">
        <v>48</v>
      </c>
      <c r="G26" s="10" t="s">
        <v>49</v>
      </c>
      <c r="H26" s="235" t="s">
        <v>81</v>
      </c>
      <c r="I26" s="235"/>
      <c r="J26" s="235"/>
      <c r="K26" s="235"/>
      <c r="M26" s="234" t="s">
        <v>2</v>
      </c>
      <c r="N26" s="11" t="s">
        <v>48</v>
      </c>
      <c r="O26" s="10" t="s">
        <v>49</v>
      </c>
      <c r="P26" s="242" t="s">
        <v>64</v>
      </c>
      <c r="Q26" s="242"/>
      <c r="R26" s="18" t="s">
        <v>68</v>
      </c>
      <c r="S26" s="10" t="s">
        <v>51</v>
      </c>
      <c r="T26" s="19">
        <f>R17</f>
        <v>35</v>
      </c>
      <c r="U26" s="10" t="s">
        <v>43</v>
      </c>
      <c r="V26" s="10"/>
      <c r="W26" s="10"/>
      <c r="X26" s="10"/>
      <c r="Z26" s="234" t="s">
        <v>2</v>
      </c>
      <c r="AA26" s="11" t="s">
        <v>48</v>
      </c>
      <c r="AB26" s="10" t="s">
        <v>49</v>
      </c>
      <c r="AC26" s="242" t="s">
        <v>64</v>
      </c>
      <c r="AD26" s="242"/>
      <c r="AE26" s="18" t="s">
        <v>68</v>
      </c>
      <c r="AF26" s="10" t="s">
        <v>51</v>
      </c>
      <c r="AG26" s="19">
        <f>R17</f>
        <v>35</v>
      </c>
      <c r="AH26" s="19" t="s">
        <v>43</v>
      </c>
      <c r="AO26" s="15" t="s">
        <v>2</v>
      </c>
      <c r="AP26" s="247">
        <f>AP25*SIN((AV25+AZ25)*PI()/180)</f>
        <v>1.2961301284120212</v>
      </c>
      <c r="AQ26" s="247"/>
      <c r="AR26" s="247"/>
      <c r="AS26" s="20" t="s">
        <v>75</v>
      </c>
      <c r="AT26" s="14"/>
      <c r="BD26" s="5"/>
      <c r="BR26" s="6"/>
    </row>
    <row r="27" spans="3:70">
      <c r="C27" s="210"/>
      <c r="D27" s="210"/>
      <c r="E27" s="234"/>
      <c r="F27" s="236" t="s">
        <v>82</v>
      </c>
      <c r="G27" s="236"/>
      <c r="H27" s="236"/>
      <c r="I27" s="236"/>
      <c r="J27" s="236"/>
      <c r="K27" s="236"/>
      <c r="M27" s="234"/>
      <c r="N27" s="231" t="s">
        <v>65</v>
      </c>
      <c r="O27" s="231"/>
      <c r="P27" s="17" t="s">
        <v>68</v>
      </c>
      <c r="Q27" t="s">
        <v>51</v>
      </c>
      <c r="R27" s="1">
        <f>R17</f>
        <v>35</v>
      </c>
      <c r="S27" t="s">
        <v>51</v>
      </c>
      <c r="T27" s="243">
        <f>Q19</f>
        <v>-21.8</v>
      </c>
      <c r="U27" s="243"/>
      <c r="V27" s="1" t="s">
        <v>87</v>
      </c>
      <c r="W27" s="243">
        <f>O21</f>
        <v>23.333333333333332</v>
      </c>
      <c r="X27" s="243"/>
      <c r="Y27" t="s">
        <v>43</v>
      </c>
      <c r="Z27" s="234"/>
      <c r="AA27" s="231" t="s">
        <v>65</v>
      </c>
      <c r="AB27" s="231"/>
      <c r="AC27" s="17" t="s">
        <v>68</v>
      </c>
      <c r="AD27" t="s">
        <v>51</v>
      </c>
      <c r="AE27" s="243">
        <f>R27+T27+W27</f>
        <v>36.533333333333331</v>
      </c>
      <c r="AF27" s="243"/>
      <c r="AG27" s="243"/>
      <c r="AH27" t="s">
        <v>43</v>
      </c>
      <c r="BD27" s="5"/>
      <c r="BR27" s="6"/>
    </row>
    <row r="28" spans="3:70">
      <c r="AM28" s="14" t="s">
        <v>89</v>
      </c>
      <c r="AN28" s="14"/>
      <c r="AO28" s="14"/>
      <c r="AP28" s="14"/>
      <c r="AQ28" s="14"/>
      <c r="AR28" s="14"/>
      <c r="AS28" s="14"/>
      <c r="AT28" s="14"/>
      <c r="BD28" s="5"/>
      <c r="BR28" s="6"/>
    </row>
    <row r="29" spans="3:70">
      <c r="C29" s="210" t="s">
        <v>48</v>
      </c>
      <c r="D29" s="210"/>
      <c r="E29" s="234" t="s">
        <v>2</v>
      </c>
      <c r="F29" s="11" t="s">
        <v>159</v>
      </c>
      <c r="G29" s="10" t="s">
        <v>49</v>
      </c>
      <c r="H29" s="12" t="s">
        <v>35</v>
      </c>
      <c r="I29" s="231" t="s">
        <v>84</v>
      </c>
      <c r="J29" s="231"/>
      <c r="K29" s="234" t="s">
        <v>50</v>
      </c>
      <c r="L29" s="210" t="s">
        <v>28</v>
      </c>
      <c r="M29" s="234" t="s">
        <v>49</v>
      </c>
      <c r="N29" s="210" t="s">
        <v>159</v>
      </c>
      <c r="P29" s="234" t="s">
        <v>2</v>
      </c>
      <c r="Q29" s="11" t="s">
        <v>159</v>
      </c>
      <c r="R29" s="10" t="s">
        <v>49</v>
      </c>
      <c r="S29" s="238">
        <f>AF3</f>
        <v>6.1</v>
      </c>
      <c r="T29" s="238"/>
      <c r="U29" s="184" t="s">
        <v>88</v>
      </c>
      <c r="V29" s="232">
        <f>'1.設計条件'!T26</f>
        <v>19</v>
      </c>
      <c r="W29" s="234" t="s">
        <v>50</v>
      </c>
      <c r="X29" s="232">
        <f>'1.設計条件'!T37</f>
        <v>10</v>
      </c>
      <c r="Y29" s="234" t="s">
        <v>49</v>
      </c>
      <c r="Z29" s="210" t="s">
        <v>159</v>
      </c>
      <c r="AA29" s="34"/>
      <c r="AB29" s="234" t="s">
        <v>2</v>
      </c>
      <c r="AC29" s="207">
        <f>S29/R30*V29+X29</f>
        <v>67.949999999999989</v>
      </c>
      <c r="AD29" s="207"/>
      <c r="AE29" s="234" t="s">
        <v>49</v>
      </c>
      <c r="AF29" s="210" t="s">
        <v>159</v>
      </c>
      <c r="AJ29" s="1"/>
      <c r="AK29" s="1"/>
      <c r="AM29" s="245" t="s">
        <v>90</v>
      </c>
      <c r="AN29" s="245"/>
      <c r="AO29" s="15" t="s">
        <v>2</v>
      </c>
      <c r="AP29" s="21" t="s">
        <v>91</v>
      </c>
      <c r="AQ29" s="14" t="s">
        <v>92</v>
      </c>
      <c r="AR29" s="20">
        <v>3</v>
      </c>
      <c r="AW29" s="14"/>
      <c r="AX29" s="2"/>
      <c r="BD29" s="5"/>
      <c r="BR29" s="6"/>
    </row>
    <row r="30" spans="3:70">
      <c r="C30" s="210"/>
      <c r="D30" s="210"/>
      <c r="E30" s="234"/>
      <c r="G30" s="1">
        <v>2</v>
      </c>
      <c r="I30" s="231"/>
      <c r="J30" s="231"/>
      <c r="K30" s="234"/>
      <c r="L30" s="210"/>
      <c r="M30" s="234"/>
      <c r="N30" s="210"/>
      <c r="P30" s="234"/>
      <c r="R30" s="1">
        <v>2</v>
      </c>
      <c r="U30" s="184"/>
      <c r="V30" s="232"/>
      <c r="W30" s="234"/>
      <c r="X30" s="232"/>
      <c r="Y30" s="234"/>
      <c r="Z30" s="210"/>
      <c r="AB30" s="234"/>
      <c r="AC30" s="207"/>
      <c r="AD30" s="207"/>
      <c r="AE30" s="234"/>
      <c r="AF30" s="210"/>
      <c r="AO30" s="15" t="s">
        <v>2</v>
      </c>
      <c r="AP30" s="247">
        <f>AF3</f>
        <v>6.1</v>
      </c>
      <c r="AQ30" s="247"/>
      <c r="AR30" s="14" t="s">
        <v>92</v>
      </c>
      <c r="AS30" s="20">
        <v>3</v>
      </c>
      <c r="AY30" s="14"/>
      <c r="AZ30" s="247"/>
      <c r="BA30" s="247"/>
      <c r="BD30" s="5"/>
      <c r="BR30" s="6"/>
    </row>
    <row r="31" spans="3:70">
      <c r="E31" s="4"/>
      <c r="U31" s="42"/>
      <c r="AO31" s="15" t="s">
        <v>2</v>
      </c>
      <c r="AP31" s="247">
        <f>AP30/AS30</f>
        <v>2.0333333333333332</v>
      </c>
      <c r="AQ31" s="247"/>
      <c r="AR31" s="247"/>
      <c r="AS31" s="20" t="s">
        <v>93</v>
      </c>
      <c r="AT31" s="20"/>
      <c r="BD31" s="5"/>
      <c r="BR31" s="6"/>
    </row>
    <row r="32" spans="3:70">
      <c r="C32" s="210" t="s">
        <v>159</v>
      </c>
      <c r="D32" s="210"/>
      <c r="E32" s="234" t="s">
        <v>2</v>
      </c>
      <c r="F32" s="234" t="s">
        <v>42</v>
      </c>
      <c r="G32" s="10"/>
      <c r="H32" s="16">
        <v>1</v>
      </c>
      <c r="I32" s="10"/>
      <c r="J32" s="234" t="s">
        <v>50</v>
      </c>
      <c r="K32" s="231" t="s">
        <v>52</v>
      </c>
      <c r="L32" s="231"/>
      <c r="M32" s="231"/>
      <c r="N32" s="234" t="s">
        <v>43</v>
      </c>
      <c r="O32" s="234" t="s">
        <v>44</v>
      </c>
      <c r="P32" s="210" t="s">
        <v>35</v>
      </c>
      <c r="R32" s="234" t="s">
        <v>2</v>
      </c>
      <c r="S32" s="234" t="s">
        <v>42</v>
      </c>
      <c r="T32" s="10"/>
      <c r="U32" s="16">
        <v>1</v>
      </c>
      <c r="V32" s="10"/>
      <c r="W32" s="234" t="s">
        <v>50</v>
      </c>
      <c r="X32" s="231" t="s">
        <v>66</v>
      </c>
      <c r="Y32" s="231"/>
      <c r="Z32" s="233">
        <f>Q19</f>
        <v>-21.8</v>
      </c>
      <c r="AA32" s="233"/>
      <c r="AB32" s="233"/>
      <c r="AC32" s="234" t="s">
        <v>67</v>
      </c>
      <c r="AD32" s="234"/>
      <c r="AE32" s="207">
        <f>AF3</f>
        <v>6.1</v>
      </c>
      <c r="AF32" s="207"/>
      <c r="BD32" s="7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8"/>
    </row>
    <row r="33" spans="3:70">
      <c r="C33" s="210"/>
      <c r="D33" s="210"/>
      <c r="E33" s="234"/>
      <c r="F33" s="234"/>
      <c r="G33" s="231" t="s">
        <v>62</v>
      </c>
      <c r="H33" s="231"/>
      <c r="I33" s="231"/>
      <c r="J33" s="234"/>
      <c r="K33" s="231"/>
      <c r="L33" s="231"/>
      <c r="M33" s="231"/>
      <c r="N33" s="234"/>
      <c r="O33" s="234"/>
      <c r="P33" s="210"/>
      <c r="R33" s="234"/>
      <c r="S33" s="234"/>
      <c r="T33" s="231" t="s">
        <v>62</v>
      </c>
      <c r="U33" s="231"/>
      <c r="V33" s="231"/>
      <c r="W33" s="234"/>
      <c r="X33" s="231"/>
      <c r="Y33" s="231"/>
      <c r="Z33" s="233"/>
      <c r="AA33" s="233"/>
      <c r="AB33" s="233"/>
      <c r="AC33" s="234"/>
      <c r="AD33" s="234"/>
      <c r="AE33" s="207"/>
      <c r="AF33" s="207"/>
      <c r="AM33" s="245" t="s">
        <v>94</v>
      </c>
      <c r="AN33" s="245"/>
      <c r="AO33" s="15" t="s">
        <v>2</v>
      </c>
      <c r="AP33" s="32" t="s">
        <v>36</v>
      </c>
      <c r="AQ33" t="s">
        <v>83</v>
      </c>
      <c r="AR33" s="249" t="s">
        <v>243</v>
      </c>
      <c r="AS33" s="249"/>
      <c r="AT33" t="s">
        <v>44</v>
      </c>
      <c r="AU33" s="249" t="s">
        <v>246</v>
      </c>
      <c r="AV33" s="249"/>
      <c r="AW33" t="s">
        <v>83</v>
      </c>
      <c r="AX33" s="210" t="s">
        <v>299</v>
      </c>
      <c r="AY33" s="210"/>
      <c r="AZ33" t="s">
        <v>50</v>
      </c>
      <c r="BA33" s="249" t="s">
        <v>95</v>
      </c>
      <c r="BB33" s="249"/>
      <c r="BC33" t="s">
        <v>44</v>
      </c>
      <c r="BD33" s="249" t="s">
        <v>246</v>
      </c>
      <c r="BE33" s="249"/>
    </row>
    <row r="34" spans="3:70">
      <c r="E34" s="234" t="s">
        <v>2</v>
      </c>
      <c r="F34" s="234" t="s">
        <v>42</v>
      </c>
      <c r="G34" s="10"/>
      <c r="H34" s="16">
        <v>1</v>
      </c>
      <c r="I34" s="10"/>
      <c r="J34" s="234" t="s">
        <v>50</v>
      </c>
      <c r="K34" s="207">
        <f>ROUND(TAN(Z32*PI()/180),2)</f>
        <v>-0.4</v>
      </c>
      <c r="L34" s="207"/>
      <c r="M34" s="207"/>
      <c r="N34" s="234" t="s">
        <v>67</v>
      </c>
      <c r="O34" s="234"/>
      <c r="P34" s="239">
        <f>AE32</f>
        <v>6.1</v>
      </c>
      <c r="Q34" s="239"/>
      <c r="R34" s="239"/>
      <c r="AO34" s="15" t="s">
        <v>2</v>
      </c>
      <c r="AP34" s="207">
        <f>AF5</f>
        <v>1.3</v>
      </c>
      <c r="AQ34" s="184"/>
      <c r="AR34" s="184"/>
      <c r="AS34" t="s">
        <v>83</v>
      </c>
      <c r="AT34" s="207">
        <f>AF6</f>
        <v>0.3</v>
      </c>
      <c r="AU34" s="184"/>
      <c r="AV34" s="184"/>
      <c r="AW34" t="s">
        <v>44</v>
      </c>
      <c r="AX34" s="233">
        <f>AF8</f>
        <v>0.4</v>
      </c>
      <c r="AY34" s="233"/>
      <c r="AZ34" s="233"/>
      <c r="BA34" t="s">
        <v>83</v>
      </c>
      <c r="BB34" s="207">
        <f>AF7</f>
        <v>0.1</v>
      </c>
      <c r="BC34" s="184"/>
      <c r="BD34" s="184"/>
      <c r="BE34" t="s">
        <v>50</v>
      </c>
      <c r="BF34" s="207">
        <f>AP31</f>
        <v>2.0333333333333332</v>
      </c>
      <c r="BG34" s="184"/>
      <c r="BH34" s="184"/>
      <c r="BI34" t="s">
        <v>44</v>
      </c>
      <c r="BJ34" s="233">
        <f>AF8</f>
        <v>0.4</v>
      </c>
      <c r="BK34" s="233"/>
      <c r="BL34" s="233"/>
    </row>
    <row r="35" spans="3:70">
      <c r="E35" s="234"/>
      <c r="F35" s="234"/>
      <c r="G35" s="231" t="s">
        <v>62</v>
      </c>
      <c r="H35" s="231"/>
      <c r="I35" s="231"/>
      <c r="J35" s="234"/>
      <c r="K35" s="207"/>
      <c r="L35" s="207"/>
      <c r="M35" s="207"/>
      <c r="N35" s="234"/>
      <c r="O35" s="234"/>
      <c r="P35" s="239"/>
      <c r="Q35" s="239"/>
      <c r="R35" s="239"/>
      <c r="AO35" s="15" t="s">
        <v>2</v>
      </c>
      <c r="AP35" s="207">
        <f>AP34-AT34*AX34-BB34+BF34*BJ34</f>
        <v>1.8933333333333335</v>
      </c>
      <c r="AQ35" s="207"/>
      <c r="AR35" s="207"/>
      <c r="AS35" s="20" t="s">
        <v>93</v>
      </c>
    </row>
    <row r="36" spans="3:70">
      <c r="E36" s="234" t="s">
        <v>2</v>
      </c>
      <c r="F36" s="238">
        <f>H34*P34</f>
        <v>6.1</v>
      </c>
      <c r="G36" s="238"/>
      <c r="H36" s="238"/>
      <c r="I36" s="234" t="s">
        <v>50</v>
      </c>
      <c r="J36" s="207">
        <f>K34*P34</f>
        <v>-2.44</v>
      </c>
      <c r="K36" s="207"/>
      <c r="L36" s="207"/>
    </row>
    <row r="37" spans="3:70">
      <c r="E37" s="234"/>
      <c r="F37" s="231" t="s">
        <v>62</v>
      </c>
      <c r="G37" s="231"/>
      <c r="H37" s="231"/>
      <c r="I37" s="234"/>
      <c r="J37" s="207"/>
      <c r="K37" s="207"/>
      <c r="L37" s="207"/>
    </row>
    <row r="38" spans="3:70">
      <c r="AI38">
        <v>5</v>
      </c>
      <c r="BR38">
        <v>6</v>
      </c>
    </row>
    <row r="41" spans="3:70">
      <c r="AB41" s="4"/>
    </row>
    <row r="42" spans="3:70">
      <c r="AB42" s="4"/>
    </row>
  </sheetData>
  <sheetProtection sheet="1" objects="1" scenarios="1"/>
  <mergeCells count="209">
    <mergeCell ref="BJ7:BK7"/>
    <mergeCell ref="BM7:BO7"/>
    <mergeCell ref="BJ9:BK9"/>
    <mergeCell ref="BM9:BO9"/>
    <mergeCell ref="Y29:Y30"/>
    <mergeCell ref="W29:W30"/>
    <mergeCell ref="V29:V30"/>
    <mergeCell ref="AE29:AE30"/>
    <mergeCell ref="AF29:AF30"/>
    <mergeCell ref="AP8:AR8"/>
    <mergeCell ref="AP25:AR25"/>
    <mergeCell ref="AS25:AU25"/>
    <mergeCell ref="AV25:AX25"/>
    <mergeCell ref="AS15:AU15"/>
    <mergeCell ref="AV15:AX15"/>
    <mergeCell ref="AN16:AO16"/>
    <mergeCell ref="AP16:AR16"/>
    <mergeCell ref="AS16:AU16"/>
    <mergeCell ref="AV16:AX16"/>
    <mergeCell ref="AS8:AU8"/>
    <mergeCell ref="AV8:AX8"/>
    <mergeCell ref="AN9:AO9"/>
    <mergeCell ref="AP9:AR9"/>
    <mergeCell ref="AS9:AU9"/>
    <mergeCell ref="AV9:AX9"/>
    <mergeCell ref="Z29:Z30"/>
    <mergeCell ref="AB29:AB30"/>
    <mergeCell ref="AC29:AD30"/>
    <mergeCell ref="U29:U30"/>
    <mergeCell ref="M26:M27"/>
    <mergeCell ref="P26:Q26"/>
    <mergeCell ref="N27:O27"/>
    <mergeCell ref="N10:N11"/>
    <mergeCell ref="N21:N22"/>
    <mergeCell ref="X29:X30"/>
    <mergeCell ref="O21:P22"/>
    <mergeCell ref="Q21:Q22"/>
    <mergeCell ref="N19:O19"/>
    <mergeCell ref="Q19:S19"/>
    <mergeCell ref="O10:O11"/>
    <mergeCell ref="P10:P11"/>
    <mergeCell ref="T27:U27"/>
    <mergeCell ref="W27:X27"/>
    <mergeCell ref="AP34:AR34"/>
    <mergeCell ref="BF34:BH34"/>
    <mergeCell ref="BJ34:BL34"/>
    <mergeCell ref="AP35:AR35"/>
    <mergeCell ref="AR33:AS33"/>
    <mergeCell ref="AU33:AV33"/>
    <mergeCell ref="AM29:AN29"/>
    <mergeCell ref="AP31:AR31"/>
    <mergeCell ref="AM33:AN33"/>
    <mergeCell ref="AP30:AQ30"/>
    <mergeCell ref="AZ30:BA30"/>
    <mergeCell ref="BA33:BB33"/>
    <mergeCell ref="BD33:BE33"/>
    <mergeCell ref="AT34:AV34"/>
    <mergeCell ref="AX34:AZ34"/>
    <mergeCell ref="AX33:AY33"/>
    <mergeCell ref="BB34:BD34"/>
    <mergeCell ref="AZ25:BB25"/>
    <mergeCell ref="AP26:AR26"/>
    <mergeCell ref="AP21:AR21"/>
    <mergeCell ref="AM24:AN24"/>
    <mergeCell ref="AP24:AQ24"/>
    <mergeCell ref="AR24:AU24"/>
    <mergeCell ref="AP4:AR4"/>
    <mergeCell ref="AS4:AU4"/>
    <mergeCell ref="AV4:AX4"/>
    <mergeCell ref="AV11:AX11"/>
    <mergeCell ref="AN12:AO12"/>
    <mergeCell ref="AP12:AR12"/>
    <mergeCell ref="AS12:AU12"/>
    <mergeCell ref="AV12:AX12"/>
    <mergeCell ref="AN13:AO13"/>
    <mergeCell ref="AP13:AR13"/>
    <mergeCell ref="AS13:AU13"/>
    <mergeCell ref="AV13:AX13"/>
    <mergeCell ref="AN14:AO14"/>
    <mergeCell ref="AP14:AR14"/>
    <mergeCell ref="AS14:AU14"/>
    <mergeCell ref="AV14:AX14"/>
    <mergeCell ref="AN15:AO15"/>
    <mergeCell ref="AP15:AR15"/>
    <mergeCell ref="BJ11:BK11"/>
    <mergeCell ref="BJ5:BK5"/>
    <mergeCell ref="AN4:AO4"/>
    <mergeCell ref="BM11:BO11"/>
    <mergeCell ref="AM19:AN19"/>
    <mergeCell ref="AP19:AQ19"/>
    <mergeCell ref="AR19:AU19"/>
    <mergeCell ref="AP20:AR20"/>
    <mergeCell ref="AS20:AU20"/>
    <mergeCell ref="AN10:AO10"/>
    <mergeCell ref="AP10:AR10"/>
    <mergeCell ref="AS10:AU10"/>
    <mergeCell ref="AV10:AX10"/>
    <mergeCell ref="AV20:AX20"/>
    <mergeCell ref="AZ20:BB20"/>
    <mergeCell ref="BM5:BO5"/>
    <mergeCell ref="AN7:AO7"/>
    <mergeCell ref="AP7:AR7"/>
    <mergeCell ref="AS7:AU7"/>
    <mergeCell ref="AV7:AX7"/>
    <mergeCell ref="AN8:AO8"/>
    <mergeCell ref="AN11:AO11"/>
    <mergeCell ref="AP11:AR11"/>
    <mergeCell ref="AS11:AU11"/>
    <mergeCell ref="AN2:AO2"/>
    <mergeCell ref="AP2:AR2"/>
    <mergeCell ref="AS2:AU2"/>
    <mergeCell ref="AV2:AX2"/>
    <mergeCell ref="T33:V33"/>
    <mergeCell ref="Z26:Z27"/>
    <mergeCell ref="AC26:AD26"/>
    <mergeCell ref="AA27:AB27"/>
    <mergeCell ref="AE27:AG27"/>
    <mergeCell ref="AF6:AH6"/>
    <mergeCell ref="AF8:AH8"/>
    <mergeCell ref="AN5:AO5"/>
    <mergeCell ref="AP5:AR5"/>
    <mergeCell ref="AS5:AU5"/>
    <mergeCell ref="AV5:AX5"/>
    <mergeCell ref="AN6:AO6"/>
    <mergeCell ref="AP6:AR6"/>
    <mergeCell ref="AS6:AU6"/>
    <mergeCell ref="AV6:AX6"/>
    <mergeCell ref="AN3:AO3"/>
    <mergeCell ref="AP3:AR3"/>
    <mergeCell ref="AS3:AU3"/>
    <mergeCell ref="AV3:AX3"/>
    <mergeCell ref="AC32:AD33"/>
    <mergeCell ref="E36:E37"/>
    <mergeCell ref="F36:H36"/>
    <mergeCell ref="I36:I37"/>
    <mergeCell ref="F37:H37"/>
    <mergeCell ref="E34:E35"/>
    <mergeCell ref="AE32:AF33"/>
    <mergeCell ref="F34:F35"/>
    <mergeCell ref="J34:J35"/>
    <mergeCell ref="K34:M35"/>
    <mergeCell ref="N34:O35"/>
    <mergeCell ref="P34:R35"/>
    <mergeCell ref="G35:I35"/>
    <mergeCell ref="J36:L37"/>
    <mergeCell ref="W32:W33"/>
    <mergeCell ref="X32:Y33"/>
    <mergeCell ref="Z32:AB33"/>
    <mergeCell ref="G33:I33"/>
    <mergeCell ref="P32:P33"/>
    <mergeCell ref="C32:D33"/>
    <mergeCell ref="E32:E33"/>
    <mergeCell ref="F32:F33"/>
    <mergeCell ref="J32:J33"/>
    <mergeCell ref="K32:M33"/>
    <mergeCell ref="N32:N33"/>
    <mergeCell ref="O32:O33"/>
    <mergeCell ref="P29:P30"/>
    <mergeCell ref="S29:T29"/>
    <mergeCell ref="C29:D30"/>
    <mergeCell ref="E29:E30"/>
    <mergeCell ref="I29:J30"/>
    <mergeCell ref="K29:K30"/>
    <mergeCell ref="L29:L30"/>
    <mergeCell ref="M29:M30"/>
    <mergeCell ref="N29:N30"/>
    <mergeCell ref="R32:R33"/>
    <mergeCell ref="S32:S33"/>
    <mergeCell ref="C26:D27"/>
    <mergeCell ref="E26:E27"/>
    <mergeCell ref="H26:K26"/>
    <mergeCell ref="F27:K27"/>
    <mergeCell ref="C10:D11"/>
    <mergeCell ref="E10:E11"/>
    <mergeCell ref="F10:F11"/>
    <mergeCell ref="J10:J11"/>
    <mergeCell ref="K10:M11"/>
    <mergeCell ref="C20:D20"/>
    <mergeCell ref="E21:E22"/>
    <mergeCell ref="F21:F22"/>
    <mergeCell ref="H21:H22"/>
    <mergeCell ref="J21:J22"/>
    <mergeCell ref="L21:M22"/>
    <mergeCell ref="C18:D18"/>
    <mergeCell ref="G19:H19"/>
    <mergeCell ref="L19:M19"/>
    <mergeCell ref="G11:I11"/>
    <mergeCell ref="C15:D15"/>
    <mergeCell ref="AF3:AH3"/>
    <mergeCell ref="AF4:AH4"/>
    <mergeCell ref="AF5:AH5"/>
    <mergeCell ref="L7:L8"/>
    <mergeCell ref="M7:M8"/>
    <mergeCell ref="N7:N8"/>
    <mergeCell ref="O7:O8"/>
    <mergeCell ref="C16:D16"/>
    <mergeCell ref="C17:D17"/>
    <mergeCell ref="R17:S17"/>
    <mergeCell ref="C4:D5"/>
    <mergeCell ref="E4:E5"/>
    <mergeCell ref="H4:K4"/>
    <mergeCell ref="F5:K5"/>
    <mergeCell ref="C7:D8"/>
    <mergeCell ref="E7:E8"/>
    <mergeCell ref="I7:I8"/>
    <mergeCell ref="J7:K8"/>
    <mergeCell ref="C13:D13"/>
    <mergeCell ref="C14:D14"/>
    <mergeCell ref="AF7:AH7"/>
  </mergeCells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16CE0-FD8F-4C1C-A43B-DA8E82639CA4}">
  <dimension ref="A1:DA38"/>
  <sheetViews>
    <sheetView showGridLines="0" view="pageBreakPreview" zoomScale="70" zoomScaleNormal="65" zoomScaleSheetLayoutView="70" workbookViewId="0">
      <selection activeCell="A2" sqref="A2"/>
    </sheetView>
  </sheetViews>
  <sheetFormatPr defaultRowHeight="18"/>
  <cols>
    <col min="1" max="70" width="3" customWidth="1"/>
    <col min="71" max="105" width="2.8984375" customWidth="1"/>
  </cols>
  <sheetData>
    <row r="1" spans="1:103" ht="18" customHeight="1">
      <c r="A1" t="s">
        <v>466</v>
      </c>
    </row>
    <row r="2" spans="1:103" ht="18" customHeight="1">
      <c r="B2" t="s">
        <v>467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AL2" s="3" t="s">
        <v>461</v>
      </c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V2" s="274" t="s">
        <v>162</v>
      </c>
      <c r="BW2" s="274"/>
      <c r="BX2" s="3" t="s">
        <v>163</v>
      </c>
      <c r="BY2" s="207">
        <f>W19</f>
        <v>1.1173353884995629</v>
      </c>
      <c r="BZ2" s="207"/>
      <c r="CA2" s="207"/>
      <c r="CB2" s="3"/>
      <c r="CC2" s="3"/>
      <c r="CS2" s="3"/>
      <c r="CT2" s="3"/>
      <c r="CU2" s="3"/>
    </row>
    <row r="3" spans="1:103" ht="18" customHeight="1">
      <c r="B3" s="3" t="s">
        <v>451</v>
      </c>
      <c r="D3" s="3"/>
      <c r="E3" s="3"/>
      <c r="F3" s="3"/>
      <c r="AL3" s="3"/>
      <c r="AM3" s="3" t="s">
        <v>229</v>
      </c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V3" s="237" t="s">
        <v>172</v>
      </c>
      <c r="BW3" s="237"/>
      <c r="BX3" t="s">
        <v>173</v>
      </c>
      <c r="BY3" s="44" t="s">
        <v>174</v>
      </c>
      <c r="BZ3" s="3" t="s">
        <v>163</v>
      </c>
      <c r="CA3" s="314">
        <f>BO35</f>
        <v>0.56000000000000005</v>
      </c>
      <c r="CB3" s="314"/>
      <c r="CC3" t="s">
        <v>173</v>
      </c>
      <c r="CD3" s="261">
        <f>'1.設計条件'!T9</f>
        <v>1.3</v>
      </c>
      <c r="CE3" s="261"/>
      <c r="CF3" s="261"/>
      <c r="CG3" s="3" t="s">
        <v>163</v>
      </c>
      <c r="CH3" s="261">
        <f>CA3*CD3</f>
        <v>0.72800000000000009</v>
      </c>
      <c r="CI3" s="261"/>
      <c r="CJ3" s="261"/>
    </row>
    <row r="4" spans="1:103" ht="18" customHeight="1">
      <c r="J4" s="280" t="s">
        <v>96</v>
      </c>
      <c r="K4" s="270"/>
      <c r="L4" s="270"/>
      <c r="M4" s="281" t="s">
        <v>97</v>
      </c>
      <c r="N4" s="270"/>
      <c r="O4" s="270"/>
      <c r="P4" s="127" t="s">
        <v>98</v>
      </c>
      <c r="Q4" s="128"/>
      <c r="R4" s="128"/>
      <c r="S4" s="128"/>
      <c r="T4" s="128"/>
      <c r="U4" s="129"/>
      <c r="V4" s="127" t="s">
        <v>99</v>
      </c>
      <c r="W4" s="128"/>
      <c r="X4" s="128"/>
      <c r="Y4" s="128"/>
      <c r="Z4" s="128"/>
      <c r="AA4" s="128"/>
      <c r="AB4" s="128"/>
      <c r="AC4" s="129"/>
      <c r="AM4" s="237" t="s">
        <v>170</v>
      </c>
      <c r="AN4" s="237"/>
      <c r="AO4" s="258" t="s">
        <v>2</v>
      </c>
      <c r="AP4" s="256" t="s">
        <v>187</v>
      </c>
      <c r="AQ4" s="256"/>
      <c r="AR4" s="46" t="s">
        <v>171</v>
      </c>
      <c r="AS4" s="256" t="s">
        <v>172</v>
      </c>
      <c r="AT4" s="256"/>
      <c r="AU4" s="10" t="s">
        <v>173</v>
      </c>
      <c r="AV4" s="45" t="s">
        <v>174</v>
      </c>
      <c r="AW4" s="47" t="s">
        <v>173</v>
      </c>
      <c r="AX4" s="256" t="s">
        <v>220</v>
      </c>
      <c r="AY4" s="256"/>
      <c r="AZ4" s="10"/>
      <c r="BA4" s="10"/>
      <c r="BB4" s="10"/>
      <c r="BC4" s="10"/>
      <c r="BD4" s="29"/>
      <c r="BF4" s="35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41"/>
      <c r="BV4" t="s">
        <v>63</v>
      </c>
      <c r="BZ4" s="274" t="s">
        <v>162</v>
      </c>
      <c r="CA4" s="274"/>
      <c r="CB4" s="3" t="s">
        <v>316</v>
      </c>
      <c r="CC4" s="237" t="s">
        <v>172</v>
      </c>
      <c r="CD4" s="237"/>
      <c r="CE4" t="s">
        <v>49</v>
      </c>
      <c r="CF4" s="44" t="s">
        <v>174</v>
      </c>
      <c r="CH4" t="s">
        <v>227</v>
      </c>
    </row>
    <row r="5" spans="1:103" ht="18" customHeight="1">
      <c r="J5" s="273" t="s">
        <v>100</v>
      </c>
      <c r="K5" s="274"/>
      <c r="L5" s="274"/>
      <c r="M5" s="275" t="s">
        <v>91</v>
      </c>
      <c r="N5" s="274"/>
      <c r="O5" s="274"/>
      <c r="P5" s="275" t="s">
        <v>101</v>
      </c>
      <c r="Q5" s="274"/>
      <c r="R5" s="274"/>
      <c r="S5" s="275" t="s">
        <v>102</v>
      </c>
      <c r="T5" s="274"/>
      <c r="U5" s="274"/>
      <c r="V5" s="275" t="s">
        <v>164</v>
      </c>
      <c r="W5" s="274"/>
      <c r="X5" s="274"/>
      <c r="Y5" s="274"/>
      <c r="Z5" s="275" t="s">
        <v>165</v>
      </c>
      <c r="AA5" s="274"/>
      <c r="AB5" s="274"/>
      <c r="AC5" s="276"/>
      <c r="AM5" s="237"/>
      <c r="AN5" s="237"/>
      <c r="AO5" s="258"/>
      <c r="AP5" s="44" t="s">
        <v>174</v>
      </c>
      <c r="AQ5" s="20" t="s">
        <v>175</v>
      </c>
      <c r="AR5" s="48" t="s">
        <v>197</v>
      </c>
      <c r="AS5" s="49" t="s">
        <v>180</v>
      </c>
      <c r="AT5" t="s">
        <v>171</v>
      </c>
      <c r="AU5" s="237" t="s">
        <v>172</v>
      </c>
      <c r="AV5" s="237"/>
      <c r="AW5" t="s">
        <v>177</v>
      </c>
      <c r="AX5" t="s">
        <v>178</v>
      </c>
      <c r="AY5" s="49" t="s">
        <v>180</v>
      </c>
      <c r="AZ5" t="s">
        <v>171</v>
      </c>
      <c r="BA5" s="237" t="s">
        <v>179</v>
      </c>
      <c r="BB5" s="237"/>
      <c r="BC5" s="20" t="s">
        <v>181</v>
      </c>
      <c r="BD5" s="20" t="s">
        <v>182</v>
      </c>
      <c r="BF5" s="104"/>
      <c r="BG5" s="34"/>
      <c r="BH5" s="34"/>
      <c r="BR5" s="6"/>
    </row>
    <row r="6" spans="1:103" ht="18" customHeight="1">
      <c r="G6" s="10"/>
      <c r="H6" s="10"/>
      <c r="I6" s="10"/>
      <c r="J6" s="277" t="s">
        <v>103</v>
      </c>
      <c r="K6" s="257"/>
      <c r="L6" s="257"/>
      <c r="M6" s="278" t="s">
        <v>103</v>
      </c>
      <c r="N6" s="257"/>
      <c r="O6" s="257"/>
      <c r="P6" s="278" t="s">
        <v>104</v>
      </c>
      <c r="Q6" s="257"/>
      <c r="R6" s="257"/>
      <c r="S6" s="278" t="s">
        <v>104</v>
      </c>
      <c r="T6" s="257"/>
      <c r="U6" s="257"/>
      <c r="V6" s="278" t="s">
        <v>496</v>
      </c>
      <c r="W6" s="257"/>
      <c r="X6" s="257"/>
      <c r="Y6" s="279"/>
      <c r="Z6" s="278" t="s">
        <v>496</v>
      </c>
      <c r="AA6" s="257"/>
      <c r="AB6" s="257"/>
      <c r="AC6" s="279"/>
      <c r="BF6" s="5"/>
      <c r="BR6" s="6"/>
      <c r="BV6" s="237" t="s">
        <v>170</v>
      </c>
      <c r="BW6" s="237"/>
      <c r="BX6" s="258" t="s">
        <v>2</v>
      </c>
      <c r="BY6" s="256" t="s">
        <v>187</v>
      </c>
      <c r="BZ6" s="256"/>
      <c r="CA6" s="46" t="s">
        <v>83</v>
      </c>
      <c r="CB6" s="256" t="s">
        <v>172</v>
      </c>
      <c r="CC6" s="256"/>
      <c r="CD6" s="10" t="s">
        <v>49</v>
      </c>
      <c r="CE6" s="45" t="s">
        <v>174</v>
      </c>
      <c r="CF6" s="47" t="s">
        <v>49</v>
      </c>
      <c r="CG6" s="256" t="s">
        <v>220</v>
      </c>
      <c r="CH6" s="256"/>
      <c r="CI6" s="10"/>
      <c r="CJ6" s="10"/>
      <c r="CK6" s="10"/>
      <c r="CL6" s="10"/>
      <c r="CM6" s="29"/>
    </row>
    <row r="7" spans="1:103" ht="18" customHeight="1">
      <c r="D7" s="304" t="s">
        <v>105</v>
      </c>
      <c r="E7" s="305"/>
      <c r="F7" s="306"/>
      <c r="G7" s="112">
        <f>'2.自重'!BW29</f>
        <v>6</v>
      </c>
      <c r="H7" s="270" t="str">
        <f>'2.自重'!BX29</f>
        <v>段目</v>
      </c>
      <c r="I7" s="271"/>
      <c r="J7" s="269" cm="1">
        <f t="array" ref="J7">_xlfn.IFS(G7&lt;='1.設計条件'!BG$6, '2.自重'!CJ$13,G7=('1.設計条件'!BG$6+1),'2.自重'!CJ$10,TRUE, "")</f>
        <v>20.239999999999995</v>
      </c>
      <c r="K7" s="255"/>
      <c r="L7" s="255"/>
      <c r="M7" s="263" t="s">
        <v>83</v>
      </c>
      <c r="N7" s="261"/>
      <c r="O7" s="261"/>
      <c r="P7" s="254">
        <f>'2.自重'!CL29</f>
        <v>2.81</v>
      </c>
      <c r="Q7" s="255"/>
      <c r="R7" s="255"/>
      <c r="S7" s="263" t="s">
        <v>83</v>
      </c>
      <c r="T7" s="261"/>
      <c r="U7" s="261"/>
      <c r="V7" s="254">
        <f t="shared" ref="V7:V12" si="0">IF(PRODUCT(J7,P7)=0,"",PRODUCT(J7,P7))</f>
        <v>56.874399999999987</v>
      </c>
      <c r="W7" s="255"/>
      <c r="X7" s="255"/>
      <c r="Y7" s="255"/>
      <c r="Z7" s="322" t="str">
        <f>IF(PRODUCT(M7,S7)=0,"－",PRODUCT(M7,S7))</f>
        <v>－</v>
      </c>
      <c r="AA7" s="261"/>
      <c r="AB7" s="261"/>
      <c r="AC7" s="323"/>
      <c r="AM7" s="237" t="s">
        <v>183</v>
      </c>
      <c r="AN7" s="237"/>
      <c r="AO7" s="4" t="s">
        <v>163</v>
      </c>
      <c r="AP7" s="237" t="s">
        <v>167</v>
      </c>
      <c r="AQ7" s="237"/>
      <c r="AR7" s="50" t="s">
        <v>171</v>
      </c>
      <c r="AS7" s="237" t="s">
        <v>170</v>
      </c>
      <c r="AT7" s="237"/>
      <c r="AU7" s="20" t="s">
        <v>175</v>
      </c>
      <c r="AV7" s="48" t="s">
        <v>197</v>
      </c>
      <c r="BD7" s="3"/>
      <c r="BF7" s="5"/>
      <c r="BR7" s="6"/>
      <c r="BV7" s="237"/>
      <c r="BW7" s="237"/>
      <c r="BX7" s="258"/>
      <c r="BY7" s="44" t="s">
        <v>174</v>
      </c>
      <c r="BZ7" s="74" t="s">
        <v>175</v>
      </c>
      <c r="CA7" s="48" t="s">
        <v>56</v>
      </c>
      <c r="CB7" s="49" t="s">
        <v>180</v>
      </c>
      <c r="CC7" t="s">
        <v>83</v>
      </c>
      <c r="CD7" s="237" t="s">
        <v>172</v>
      </c>
      <c r="CE7" s="237"/>
      <c r="CF7" s="75" t="s">
        <v>177</v>
      </c>
      <c r="CG7" t="s">
        <v>178</v>
      </c>
      <c r="CH7" s="49" t="s">
        <v>180</v>
      </c>
      <c r="CI7" t="s">
        <v>83</v>
      </c>
      <c r="CJ7" s="237" t="s">
        <v>179</v>
      </c>
      <c r="CK7" s="237"/>
      <c r="CL7" s="20" t="s">
        <v>155</v>
      </c>
      <c r="CM7" s="20" t="s">
        <v>182</v>
      </c>
    </row>
    <row r="8" spans="1:103" ht="18" customHeight="1">
      <c r="D8" s="71"/>
      <c r="E8" s="111"/>
      <c r="F8" s="72"/>
      <c r="G8" s="73">
        <f>'2.自重'!BW30</f>
        <v>5</v>
      </c>
      <c r="H8" s="264" t="str">
        <f>'2.自重'!BX30</f>
        <v>段目</v>
      </c>
      <c r="I8" s="265"/>
      <c r="J8" s="269" cm="1">
        <f t="array" ref="J8">_xlfn.IFS(G8&lt;='1.設計条件'!BG$6, '2.自重'!CJ$13,G8=('1.設計条件'!BG$6+1),'2.自重'!CJ$10,TRUE, "")</f>
        <v>25.3</v>
      </c>
      <c r="K8" s="255"/>
      <c r="L8" s="255"/>
      <c r="M8" s="263" t="s">
        <v>83</v>
      </c>
      <c r="N8" s="261"/>
      <c r="O8" s="261"/>
      <c r="P8" s="254">
        <f>'2.自重'!CL30</f>
        <v>2.4500000000000002</v>
      </c>
      <c r="Q8" s="255"/>
      <c r="R8" s="255"/>
      <c r="S8" s="263" t="s">
        <v>83</v>
      </c>
      <c r="T8" s="261"/>
      <c r="U8" s="261"/>
      <c r="V8" s="254">
        <f t="shared" si="0"/>
        <v>61.985000000000007</v>
      </c>
      <c r="W8" s="255"/>
      <c r="X8" s="255"/>
      <c r="Y8" s="255"/>
      <c r="Z8" s="322" t="str">
        <f>IF(PRODUCT(M8,S8)=0,"－",PRODUCT(M8,S8))</f>
        <v>－</v>
      </c>
      <c r="AA8" s="261"/>
      <c r="AB8" s="261"/>
      <c r="AC8" s="323"/>
      <c r="AM8" s="44"/>
      <c r="AN8" s="44"/>
      <c r="AS8" s="44"/>
      <c r="AT8" s="44"/>
      <c r="BD8" s="3"/>
      <c r="BF8" s="5"/>
      <c r="BR8" s="6"/>
      <c r="BV8" s="21"/>
      <c r="BW8" s="21"/>
    </row>
    <row r="9" spans="1:103" ht="18" customHeight="1">
      <c r="D9" s="71"/>
      <c r="E9" s="111"/>
      <c r="F9" s="72"/>
      <c r="G9" s="73">
        <f>'2.自重'!BW31</f>
        <v>4</v>
      </c>
      <c r="H9" s="264" t="str">
        <f>'2.自重'!BX31</f>
        <v>段目</v>
      </c>
      <c r="I9" s="265"/>
      <c r="J9" s="269" cm="1">
        <f t="array" ref="J9">_xlfn.IFS(G9&lt;='1.設計条件'!BG$6, '2.自重'!CJ$13,G9=('1.設計条件'!BG$6+1),'2.自重'!CJ$10,TRUE, "")</f>
        <v>25.3</v>
      </c>
      <c r="K9" s="255"/>
      <c r="L9" s="255"/>
      <c r="M9" s="263" t="s">
        <v>83</v>
      </c>
      <c r="N9" s="261"/>
      <c r="O9" s="261"/>
      <c r="P9" s="254">
        <f>'2.自重'!CL31</f>
        <v>2.0500000000000003</v>
      </c>
      <c r="Q9" s="255"/>
      <c r="R9" s="255"/>
      <c r="S9" s="263" t="s">
        <v>83</v>
      </c>
      <c r="T9" s="261"/>
      <c r="U9" s="261"/>
      <c r="V9" s="254">
        <f t="shared" si="0"/>
        <v>51.865000000000009</v>
      </c>
      <c r="W9" s="255"/>
      <c r="X9" s="255"/>
      <c r="Y9" s="255"/>
      <c r="Z9" s="322" t="str">
        <f t="shared" ref="Z9:Z13" si="1">IF(PRODUCT(M9,S9)=0,"－",PRODUCT(M9,S9))</f>
        <v>－</v>
      </c>
      <c r="AA9" s="261"/>
      <c r="AB9" s="261"/>
      <c r="AC9" s="323"/>
      <c r="AM9" s="237" t="s">
        <v>184</v>
      </c>
      <c r="AN9" s="237"/>
      <c r="AO9" s="4" t="s">
        <v>163</v>
      </c>
      <c r="AP9" s="237" t="s">
        <v>198</v>
      </c>
      <c r="AQ9" s="237"/>
      <c r="AR9" s="20" t="s">
        <v>50</v>
      </c>
      <c r="AS9" s="237" t="s">
        <v>170</v>
      </c>
      <c r="AT9" s="237"/>
      <c r="AU9" s="20" t="s">
        <v>185</v>
      </c>
      <c r="AV9" s="48" t="s">
        <v>197</v>
      </c>
      <c r="BD9" s="3"/>
      <c r="BF9" s="5"/>
      <c r="BR9" s="6"/>
      <c r="BV9" s="21"/>
      <c r="BW9" s="21"/>
      <c r="BX9" s="258" t="s">
        <v>2</v>
      </c>
      <c r="BY9" s="317">
        <f>BG19</f>
        <v>175.42850540384217</v>
      </c>
      <c r="BZ9" s="318"/>
      <c r="CA9" s="318"/>
      <c r="CB9" s="46" t="s">
        <v>83</v>
      </c>
      <c r="CC9" s="298">
        <f>BO35</f>
        <v>0.56000000000000005</v>
      </c>
      <c r="CD9" s="298"/>
      <c r="CE9" s="19" t="s">
        <v>44</v>
      </c>
      <c r="CF9" s="259">
        <f>'1.設計条件'!T9</f>
        <v>1.3</v>
      </c>
      <c r="CG9" s="259"/>
      <c r="CH9" s="19" t="s">
        <v>44</v>
      </c>
      <c r="CI9" s="317">
        <f>J15</f>
        <v>157.006130128412</v>
      </c>
      <c r="CJ9" s="318"/>
      <c r="CK9" s="318"/>
      <c r="CL9" s="10"/>
      <c r="CM9" s="10"/>
      <c r="CP9" s="10"/>
      <c r="CQ9" s="10"/>
    </row>
    <row r="10" spans="1:103" ht="18" customHeight="1">
      <c r="D10" s="71"/>
      <c r="E10" s="111"/>
      <c r="F10" s="72"/>
      <c r="G10" s="73">
        <f>'2.自重'!BW32</f>
        <v>3</v>
      </c>
      <c r="H10" s="264" t="str">
        <f>'2.自重'!BX32</f>
        <v>段目</v>
      </c>
      <c r="I10" s="265"/>
      <c r="J10" s="269" cm="1">
        <f t="array" ref="J10">_xlfn.IFS(G10&lt;='1.設計条件'!BG$6, '2.自重'!CJ$13,G10=('1.設計条件'!BG$6+1),'2.自重'!CJ$10,TRUE, "")</f>
        <v>25.3</v>
      </c>
      <c r="K10" s="255"/>
      <c r="L10" s="255"/>
      <c r="M10" s="263" t="s">
        <v>83</v>
      </c>
      <c r="N10" s="261"/>
      <c r="O10" s="261"/>
      <c r="P10" s="254">
        <f>'2.自重'!CL32</f>
        <v>1.65</v>
      </c>
      <c r="Q10" s="255"/>
      <c r="R10" s="255"/>
      <c r="S10" s="263" t="s">
        <v>83</v>
      </c>
      <c r="T10" s="261"/>
      <c r="U10" s="261"/>
      <c r="V10" s="254">
        <f t="shared" si="0"/>
        <v>41.744999999999997</v>
      </c>
      <c r="W10" s="255"/>
      <c r="X10" s="255"/>
      <c r="Y10" s="255"/>
      <c r="Z10" s="322" t="str">
        <f t="shared" si="1"/>
        <v>－</v>
      </c>
      <c r="AA10" s="261"/>
      <c r="AB10" s="261"/>
      <c r="AC10" s="323"/>
      <c r="BD10" s="3"/>
      <c r="BF10" s="5"/>
      <c r="BR10" s="6"/>
      <c r="BV10" s="21"/>
      <c r="BW10" s="21"/>
      <c r="BX10" s="258"/>
      <c r="BY10" s="319">
        <f>'1.設計条件'!T9</f>
        <v>1.3</v>
      </c>
      <c r="BZ10" s="319"/>
      <c r="CA10" s="74" t="s">
        <v>175</v>
      </c>
      <c r="CB10" s="283">
        <f>-'2.土圧'!Q19</f>
        <v>21.8</v>
      </c>
      <c r="CC10" s="283"/>
      <c r="CD10" s="49" t="s">
        <v>180</v>
      </c>
      <c r="CE10" t="s">
        <v>83</v>
      </c>
      <c r="CF10" s="320">
        <f>BO35</f>
        <v>0.56000000000000005</v>
      </c>
      <c r="CG10" s="320"/>
      <c r="CH10" s="75" t="s">
        <v>177</v>
      </c>
      <c r="CI10" s="178">
        <f>BI21</f>
        <v>6.5699010647040952</v>
      </c>
      <c r="CJ10" s="321"/>
      <c r="CK10" s="321"/>
      <c r="CL10" s="49" t="s">
        <v>180</v>
      </c>
      <c r="CM10" t="s">
        <v>83</v>
      </c>
      <c r="CN10" s="326">
        <f>BO34</f>
        <v>0.6</v>
      </c>
      <c r="CO10" s="320"/>
      <c r="CP10" s="20" t="s">
        <v>155</v>
      </c>
      <c r="CQ10" s="20" t="s">
        <v>182</v>
      </c>
    </row>
    <row r="11" spans="1:103" ht="18" customHeight="1">
      <c r="D11" s="71"/>
      <c r="E11" s="111"/>
      <c r="F11" s="72"/>
      <c r="G11" s="73">
        <f>'2.自重'!BW33</f>
        <v>2</v>
      </c>
      <c r="H11" s="264" t="str">
        <f>'2.自重'!BX33</f>
        <v>段目</v>
      </c>
      <c r="I11" s="265"/>
      <c r="J11" s="269" cm="1">
        <f t="array" ref="J11">_xlfn.IFS(G11&lt;='1.設計条件'!BG$6, '2.自重'!CJ$13,G11=('1.設計条件'!BG$6+1),'2.自重'!CJ$10,TRUE, "")</f>
        <v>25.3</v>
      </c>
      <c r="K11" s="255"/>
      <c r="L11" s="255"/>
      <c r="M11" s="263" t="s">
        <v>83</v>
      </c>
      <c r="N11" s="261"/>
      <c r="O11" s="261"/>
      <c r="P11" s="254">
        <f>'2.自重'!CL33</f>
        <v>1.25</v>
      </c>
      <c r="Q11" s="255"/>
      <c r="R11" s="255"/>
      <c r="S11" s="263" t="s">
        <v>83</v>
      </c>
      <c r="T11" s="261"/>
      <c r="U11" s="261"/>
      <c r="V11" s="254">
        <f t="shared" si="0"/>
        <v>31.625</v>
      </c>
      <c r="W11" s="255"/>
      <c r="X11" s="255"/>
      <c r="Y11" s="255"/>
      <c r="Z11" s="322" t="str">
        <f t="shared" si="1"/>
        <v>－</v>
      </c>
      <c r="AA11" s="261"/>
      <c r="AB11" s="261"/>
      <c r="AC11" s="323"/>
      <c r="AM11" s="237" t="s">
        <v>186</v>
      </c>
      <c r="AN11" s="237"/>
      <c r="AO11" s="258" t="s">
        <v>2</v>
      </c>
      <c r="AP11" s="51">
        <v>2</v>
      </c>
      <c r="AQ11" s="256" t="s">
        <v>183</v>
      </c>
      <c r="AR11" s="256"/>
      <c r="AS11" s="51" t="s">
        <v>188</v>
      </c>
      <c r="AT11" s="46" t="s">
        <v>171</v>
      </c>
      <c r="AU11" s="51">
        <v>3</v>
      </c>
      <c r="AV11" s="256" t="s">
        <v>172</v>
      </c>
      <c r="AW11" s="256"/>
      <c r="AX11" s="52" t="s">
        <v>176</v>
      </c>
      <c r="BF11" s="5"/>
      <c r="BR11" s="6"/>
    </row>
    <row r="12" spans="1:103" ht="18" customHeight="1">
      <c r="D12" s="71"/>
      <c r="E12" s="111"/>
      <c r="F12" s="72"/>
      <c r="G12" s="73">
        <f>'2.自重'!BW34</f>
        <v>1</v>
      </c>
      <c r="H12" s="264" t="str">
        <f>'2.自重'!BX34</f>
        <v>段目</v>
      </c>
      <c r="I12" s="265"/>
      <c r="J12" s="269" cm="1">
        <f t="array" ref="J12">_xlfn.IFS(G12&lt;='1.設計条件'!BG$6, '2.自重'!CJ$13,G12=('1.設計条件'!BG$6+1),'2.自重'!CJ$10,TRUE, "")</f>
        <v>25.3</v>
      </c>
      <c r="K12" s="255"/>
      <c r="L12" s="255"/>
      <c r="M12" s="263" t="s">
        <v>83</v>
      </c>
      <c r="N12" s="261"/>
      <c r="O12" s="261"/>
      <c r="P12" s="254">
        <f>'2.自重'!CL34</f>
        <v>0.85</v>
      </c>
      <c r="Q12" s="255"/>
      <c r="R12" s="255"/>
      <c r="S12" s="263" t="s">
        <v>83</v>
      </c>
      <c r="T12" s="261"/>
      <c r="U12" s="261"/>
      <c r="V12" s="254">
        <f t="shared" si="0"/>
        <v>21.504999999999999</v>
      </c>
      <c r="W12" s="255"/>
      <c r="X12" s="255"/>
      <c r="Y12" s="255"/>
      <c r="Z12" s="322" t="str">
        <f t="shared" si="1"/>
        <v>－</v>
      </c>
      <c r="AA12" s="261"/>
      <c r="AB12" s="261"/>
      <c r="AC12" s="323"/>
      <c r="AM12" s="237"/>
      <c r="AN12" s="237"/>
      <c r="AO12" s="258"/>
      <c r="AQ12" s="20"/>
      <c r="AT12" s="44" t="s">
        <v>174</v>
      </c>
      <c r="BF12" s="5"/>
      <c r="BR12" s="6"/>
      <c r="BX12" s="258" t="s">
        <v>2</v>
      </c>
      <c r="BY12" s="317">
        <f>BY9</f>
        <v>175.42850540384217</v>
      </c>
      <c r="BZ12" s="318"/>
      <c r="CA12" s="318"/>
      <c r="CB12" s="46" t="s">
        <v>83</v>
      </c>
      <c r="CC12" s="259">
        <f>CC9*CF9*CI9</f>
        <v>114.30046273348395</v>
      </c>
      <c r="CD12" s="259"/>
      <c r="CE12" s="259"/>
      <c r="CF12" s="45"/>
      <c r="CG12" s="10"/>
      <c r="CH12" s="10"/>
      <c r="CL12" s="10"/>
      <c r="CM12" s="10"/>
      <c r="CN12" s="10"/>
      <c r="CQ12" s="258" t="s">
        <v>2</v>
      </c>
      <c r="CR12" s="325">
        <f>BY12-CC12</f>
        <v>61.128042670358212</v>
      </c>
      <c r="CS12" s="325"/>
      <c r="CT12" s="325"/>
      <c r="CV12" s="258" t="s">
        <v>2</v>
      </c>
      <c r="CW12" s="324">
        <f>CR12/CR13</f>
        <v>11.178530650763353</v>
      </c>
      <c r="CX12" s="324"/>
      <c r="CY12" s="324"/>
    </row>
    <row r="13" spans="1:103" ht="18" customHeight="1">
      <c r="D13" s="71"/>
      <c r="E13" s="111"/>
      <c r="F13" s="72"/>
      <c r="G13" s="266" t="s">
        <v>315</v>
      </c>
      <c r="H13" s="267"/>
      <c r="I13" s="268"/>
      <c r="J13" s="255">
        <f>'2.自重'!CJ14</f>
        <v>8.9700000000000006</v>
      </c>
      <c r="K13" s="255"/>
      <c r="L13" s="255"/>
      <c r="M13" s="263" t="s">
        <v>83</v>
      </c>
      <c r="N13" s="261"/>
      <c r="O13" s="261"/>
      <c r="P13" s="254">
        <f>'2.自重'!CL35</f>
        <v>0.65</v>
      </c>
      <c r="Q13" s="255"/>
      <c r="R13" s="255"/>
      <c r="S13" s="263" t="s">
        <v>83</v>
      </c>
      <c r="T13" s="261"/>
      <c r="U13" s="261"/>
      <c r="V13" s="254">
        <f t="shared" ref="V13" si="2">IF(PRODUCT(J13,P13)=0,"",PRODUCT(J13,P13))</f>
        <v>5.8305000000000007</v>
      </c>
      <c r="W13" s="255"/>
      <c r="X13" s="255"/>
      <c r="Y13" s="255"/>
      <c r="Z13" s="322" t="str">
        <f t="shared" si="1"/>
        <v>－</v>
      </c>
      <c r="AA13" s="261"/>
      <c r="AB13" s="261"/>
      <c r="AC13" s="323"/>
      <c r="AM13" s="237" t="s">
        <v>189</v>
      </c>
      <c r="AN13" s="237"/>
      <c r="AO13" s="258" t="s">
        <v>2</v>
      </c>
      <c r="AP13" s="51">
        <v>2</v>
      </c>
      <c r="AQ13" s="256" t="s">
        <v>183</v>
      </c>
      <c r="AR13" s="256"/>
      <c r="AS13" s="51" t="s">
        <v>190</v>
      </c>
      <c r="AT13" s="256" t="s">
        <v>172</v>
      </c>
      <c r="AU13" s="256"/>
      <c r="AV13" s="46" t="s">
        <v>171</v>
      </c>
      <c r="AW13" s="51">
        <v>1</v>
      </c>
      <c r="AX13" s="52" t="s">
        <v>176</v>
      </c>
      <c r="BF13" s="5"/>
      <c r="BR13" s="6"/>
      <c r="BX13" s="258"/>
      <c r="BY13" s="319">
        <f>BY10</f>
        <v>1.3</v>
      </c>
      <c r="BZ13" s="319"/>
      <c r="CA13" s="1" t="s">
        <v>44</v>
      </c>
      <c r="CB13" s="183">
        <f>SIN(CB10*PI()/180)</f>
        <v>0.37136783555023484</v>
      </c>
      <c r="CC13" s="183"/>
      <c r="CD13" s="1" t="s">
        <v>44</v>
      </c>
      <c r="CE13" s="184">
        <f>1-CF10</f>
        <v>0.43999999999999995</v>
      </c>
      <c r="CF13" s="184"/>
      <c r="CH13" t="s">
        <v>50</v>
      </c>
      <c r="CI13" s="178">
        <f>CI10</f>
        <v>6.5699010647040952</v>
      </c>
      <c r="CJ13" s="321"/>
      <c r="CK13" s="321"/>
      <c r="CL13" s="1" t="s">
        <v>44</v>
      </c>
      <c r="CM13" s="184">
        <f>1-CN10/3</f>
        <v>0.8</v>
      </c>
      <c r="CN13" s="184"/>
      <c r="CQ13" s="258"/>
      <c r="CR13" s="319">
        <f>BY13*CB13*CE13+CI13*CM13</f>
        <v>5.468343253698011</v>
      </c>
      <c r="CS13" s="319"/>
      <c r="CT13" s="319"/>
      <c r="CV13" s="258"/>
      <c r="CW13" s="324"/>
      <c r="CX13" s="324"/>
      <c r="CY13" s="324"/>
    </row>
    <row r="14" spans="1:103" ht="18" customHeight="1">
      <c r="D14" s="262" t="s">
        <v>106</v>
      </c>
      <c r="E14" s="262"/>
      <c r="F14" s="127"/>
      <c r="G14" s="129"/>
      <c r="H14" s="262"/>
      <c r="I14" s="262"/>
      <c r="J14" s="272">
        <f>'2.土圧'!AP26</f>
        <v>1.2961301284120212</v>
      </c>
      <c r="K14" s="272"/>
      <c r="L14" s="272"/>
      <c r="M14" s="284">
        <f>'2.土圧'!AP21</f>
        <v>48.420689002926842</v>
      </c>
      <c r="N14" s="272"/>
      <c r="O14" s="272"/>
      <c r="P14" s="284">
        <f>'2.土圧'!AP35</f>
        <v>1.8933333333333335</v>
      </c>
      <c r="Q14" s="272"/>
      <c r="R14" s="272"/>
      <c r="S14" s="284">
        <f>'2.土圧'!AP31</f>
        <v>2.0333333333333332</v>
      </c>
      <c r="T14" s="272"/>
      <c r="U14" s="272"/>
      <c r="V14" s="285">
        <f>IF(PRODUCT(J14,P14)=0,"",PRODUCT(J14,P14))</f>
        <v>2.4540063764600939</v>
      </c>
      <c r="W14" s="286"/>
      <c r="X14" s="286"/>
      <c r="Y14" s="286"/>
      <c r="Z14" s="287">
        <f>IF(PRODUCT(M14,S14)=0,"",PRODUCT(M14,S14))</f>
        <v>98.455400972617909</v>
      </c>
      <c r="AA14" s="272"/>
      <c r="AB14" s="272"/>
      <c r="AC14" s="288"/>
      <c r="AM14" s="237"/>
      <c r="AN14" s="237"/>
      <c r="AO14" s="258"/>
      <c r="AQ14" s="20"/>
      <c r="AT14" s="44" t="s">
        <v>174</v>
      </c>
      <c r="BF14" s="5"/>
      <c r="BR14" s="6"/>
    </row>
    <row r="15" spans="1:103" ht="18" customHeight="1">
      <c r="D15" s="262" t="s">
        <v>107</v>
      </c>
      <c r="E15" s="262"/>
      <c r="F15" s="127"/>
      <c r="G15" s="129"/>
      <c r="H15" s="262"/>
      <c r="I15" s="262"/>
      <c r="J15" s="272">
        <f>SUM(J7:J14)</f>
        <v>157.006130128412</v>
      </c>
      <c r="K15" s="272"/>
      <c r="L15" s="272"/>
      <c r="M15" s="284">
        <f>SUM(M7:M14)</f>
        <v>48.420689002926842</v>
      </c>
      <c r="N15" s="272"/>
      <c r="O15" s="272"/>
      <c r="P15" s="289" t="s">
        <v>108</v>
      </c>
      <c r="Q15" s="290"/>
      <c r="R15" s="290"/>
      <c r="S15" s="289" t="s">
        <v>108</v>
      </c>
      <c r="T15" s="290"/>
      <c r="U15" s="290"/>
      <c r="V15" s="284">
        <f>SUM(V7:V14)</f>
        <v>273.88390637646006</v>
      </c>
      <c r="W15" s="272"/>
      <c r="X15" s="272"/>
      <c r="Y15" s="272"/>
      <c r="Z15" s="284">
        <f>SUM(Z7:Z14)</f>
        <v>98.455400972617909</v>
      </c>
      <c r="AA15" s="272"/>
      <c r="AB15" s="272"/>
      <c r="AC15" s="288"/>
      <c r="AD15" s="110"/>
      <c r="AE15" s="110"/>
      <c r="AF15" s="110"/>
      <c r="AM15" s="237" t="s">
        <v>191</v>
      </c>
      <c r="AN15" s="237"/>
      <c r="AO15" s="258" t="s">
        <v>2</v>
      </c>
      <c r="AP15" s="51">
        <v>2</v>
      </c>
      <c r="AQ15" s="256" t="s">
        <v>170</v>
      </c>
      <c r="AR15" s="256"/>
      <c r="AS15" s="10"/>
      <c r="BF15" s="5"/>
      <c r="BR15" s="6"/>
      <c r="BV15" s="237" t="s">
        <v>183</v>
      </c>
      <c r="BW15" s="237"/>
      <c r="BX15" s="4" t="s">
        <v>163</v>
      </c>
      <c r="BY15" s="237" t="s">
        <v>167</v>
      </c>
      <c r="BZ15" s="237"/>
      <c r="CA15" s="50" t="s">
        <v>171</v>
      </c>
      <c r="CB15" s="237" t="s">
        <v>170</v>
      </c>
      <c r="CC15" s="237"/>
      <c r="CD15" s="20" t="s">
        <v>175</v>
      </c>
      <c r="CE15" s="48" t="s">
        <v>197</v>
      </c>
      <c r="CG15" s="4" t="s">
        <v>163</v>
      </c>
      <c r="CH15" s="261">
        <f>J15</f>
        <v>157.006130128412</v>
      </c>
      <c r="CI15" s="261"/>
      <c r="CJ15" s="261"/>
      <c r="CK15" s="50" t="s">
        <v>171</v>
      </c>
      <c r="CL15" s="207">
        <f>CW12</f>
        <v>11.178530650763353</v>
      </c>
      <c r="CM15" s="207"/>
      <c r="CN15" s="207"/>
      <c r="CO15" s="20" t="s">
        <v>175</v>
      </c>
      <c r="CQ15" s="233">
        <f>-'2.土圧'!Q19</f>
        <v>21.8</v>
      </c>
      <c r="CR15" s="233"/>
      <c r="CT15" s="4" t="s">
        <v>163</v>
      </c>
      <c r="CU15" s="261">
        <f>CH15-CL15*SIN(CQ15*PI()/180)</f>
        <v>152.85478339600604</v>
      </c>
      <c r="CV15" s="261"/>
      <c r="CW15" s="261"/>
    </row>
    <row r="16" spans="1:103" ht="18" customHeight="1">
      <c r="D16" s="27"/>
      <c r="E16" s="27"/>
      <c r="F16" s="27"/>
      <c r="G16" s="31"/>
      <c r="H16" s="31"/>
      <c r="I16" s="31"/>
      <c r="J16" s="31"/>
      <c r="K16" s="31"/>
      <c r="L16" s="31"/>
      <c r="M16" s="24"/>
      <c r="N16" s="24"/>
      <c r="O16" s="24"/>
      <c r="P16" s="24"/>
      <c r="Q16" s="24"/>
      <c r="R16" s="24"/>
      <c r="S16" s="31"/>
      <c r="T16" s="31"/>
      <c r="U16" s="31"/>
      <c r="V16" s="31"/>
      <c r="W16" s="31"/>
      <c r="X16" s="31"/>
      <c r="Y16" s="31"/>
      <c r="Z16" s="31"/>
      <c r="AM16" s="237"/>
      <c r="AN16" s="237"/>
      <c r="AO16" s="258"/>
      <c r="AP16" s="237" t="s">
        <v>179</v>
      </c>
      <c r="AQ16" s="237"/>
      <c r="AR16" t="s">
        <v>173</v>
      </c>
      <c r="AS16" s="53" t="s">
        <v>192</v>
      </c>
      <c r="BF16" s="5"/>
      <c r="BR16" s="6"/>
    </row>
    <row r="17" spans="2:102" ht="18" customHeight="1">
      <c r="B17" s="3" t="s">
        <v>452</v>
      </c>
      <c r="AJ17" s="3"/>
      <c r="AK17" s="3"/>
      <c r="AM17" t="s">
        <v>193</v>
      </c>
      <c r="BF17" s="5"/>
      <c r="BR17" s="6"/>
      <c r="BV17" s="237" t="s">
        <v>184</v>
      </c>
      <c r="BW17" s="237"/>
      <c r="BX17" s="4" t="s">
        <v>163</v>
      </c>
      <c r="BY17" s="237" t="s">
        <v>198</v>
      </c>
      <c r="BZ17" s="237"/>
      <c r="CA17" s="20" t="s">
        <v>50</v>
      </c>
      <c r="CB17" s="237" t="s">
        <v>170</v>
      </c>
      <c r="CC17" s="237"/>
      <c r="CD17" s="20" t="s">
        <v>185</v>
      </c>
      <c r="CE17" s="48" t="s">
        <v>197</v>
      </c>
      <c r="CG17" s="4" t="s">
        <v>163</v>
      </c>
      <c r="CH17" s="261">
        <f>M15</f>
        <v>48.420689002926842</v>
      </c>
      <c r="CI17" s="261"/>
      <c r="CJ17" s="261"/>
      <c r="CK17" s="20" t="s">
        <v>50</v>
      </c>
      <c r="CL17" s="207">
        <f>CW12</f>
        <v>11.178530650763353</v>
      </c>
      <c r="CM17" s="207"/>
      <c r="CN17" s="207"/>
      <c r="CO17" s="20" t="s">
        <v>185</v>
      </c>
      <c r="CQ17" s="233">
        <f>-'2.土圧'!Q19</f>
        <v>21.8</v>
      </c>
      <c r="CR17" s="233"/>
      <c r="CT17" s="4" t="s">
        <v>163</v>
      </c>
      <c r="CU17" s="261">
        <f>CH17+CL17*COS(CQ17*PI()/180)</f>
        <v>58.799796277514488</v>
      </c>
      <c r="CV17" s="261"/>
      <c r="CW17" s="261"/>
    </row>
    <row r="18" spans="2:102" ht="18" customHeight="1">
      <c r="D18" s="3" t="s">
        <v>156</v>
      </c>
      <c r="F18" s="13"/>
      <c r="G18" s="22"/>
      <c r="H18" s="22"/>
      <c r="I18" s="22"/>
      <c r="K18" s="22"/>
      <c r="L18" s="13"/>
      <c r="M18" s="13"/>
      <c r="O18" s="22"/>
      <c r="P18" s="13"/>
      <c r="Q18" s="13"/>
      <c r="S18" s="22"/>
      <c r="T18" s="13"/>
      <c r="AJ18" s="3"/>
      <c r="AK18" s="3"/>
      <c r="AM18" s="237" t="s">
        <v>187</v>
      </c>
      <c r="AN18" s="237"/>
      <c r="AO18" t="s">
        <v>462</v>
      </c>
      <c r="BF18" s="7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8"/>
    </row>
    <row r="19" spans="2:102" ht="18" customHeight="1">
      <c r="D19" s="237" t="s">
        <v>111</v>
      </c>
      <c r="E19" s="237"/>
      <c r="F19" s="258" t="s">
        <v>2</v>
      </c>
      <c r="G19" s="256" t="s">
        <v>112</v>
      </c>
      <c r="H19" s="256"/>
      <c r="I19" s="256"/>
      <c r="J19" s="256"/>
      <c r="K19" s="256"/>
      <c r="L19" s="3"/>
      <c r="M19" s="258" t="s">
        <v>2</v>
      </c>
      <c r="N19" s="291">
        <f>V15</f>
        <v>273.88390637646006</v>
      </c>
      <c r="O19" s="291"/>
      <c r="P19" s="291"/>
      <c r="Q19" s="28" t="s">
        <v>113</v>
      </c>
      <c r="R19" s="291">
        <f>Z15</f>
        <v>98.455400972617909</v>
      </c>
      <c r="S19" s="291"/>
      <c r="T19" s="291"/>
      <c r="V19" s="258" t="s">
        <v>2</v>
      </c>
      <c r="W19" s="207">
        <f>(N19-R19)/P20</f>
        <v>1.1173353884995629</v>
      </c>
      <c r="X19" s="207"/>
      <c r="Y19" s="207"/>
      <c r="Z19" s="234" t="s">
        <v>110</v>
      </c>
      <c r="AK19" s="3"/>
      <c r="AM19" s="21"/>
      <c r="AN19" s="237" t="s">
        <v>187</v>
      </c>
      <c r="AO19" s="237"/>
      <c r="AP19" s="3" t="s">
        <v>163</v>
      </c>
      <c r="AQ19" s="237" t="s">
        <v>195</v>
      </c>
      <c r="AR19" s="237"/>
      <c r="AS19" s="50" t="s">
        <v>171</v>
      </c>
      <c r="AT19" s="237" t="s">
        <v>196</v>
      </c>
      <c r="AU19" s="237"/>
      <c r="AW19" s="3" t="s">
        <v>163</v>
      </c>
      <c r="AX19" s="261">
        <f>V15</f>
        <v>273.88390637646006</v>
      </c>
      <c r="AY19" s="261"/>
      <c r="AZ19" s="261"/>
      <c r="BA19" s="4" t="s">
        <v>113</v>
      </c>
      <c r="BB19" s="261">
        <f>Z15</f>
        <v>98.455400972617909</v>
      </c>
      <c r="BC19" s="261"/>
      <c r="BD19" s="261"/>
      <c r="BF19" s="3" t="s">
        <v>163</v>
      </c>
      <c r="BG19" s="261">
        <f>AX19-BB19</f>
        <v>175.42850540384217</v>
      </c>
      <c r="BH19" s="261"/>
      <c r="BI19" s="261"/>
      <c r="BV19" s="301" t="s">
        <v>210</v>
      </c>
      <c r="BW19" s="301"/>
      <c r="BX19" s="4" t="s">
        <v>2</v>
      </c>
      <c r="BY19" s="237" t="s">
        <v>179</v>
      </c>
      <c r="BZ19" s="237"/>
      <c r="CA19" t="s">
        <v>49</v>
      </c>
      <c r="CB19" s="53" t="s">
        <v>192</v>
      </c>
      <c r="CD19" s="4" t="s">
        <v>2</v>
      </c>
      <c r="CE19" s="252">
        <f>BO34</f>
        <v>0.6</v>
      </c>
      <c r="CF19" s="251"/>
      <c r="CG19" t="s">
        <v>49</v>
      </c>
      <c r="CH19" s="247">
        <f>BI21</f>
        <v>6.5699010647040952</v>
      </c>
      <c r="CI19" s="247"/>
      <c r="CK19" s="4" t="s">
        <v>2</v>
      </c>
      <c r="CL19" s="247">
        <f>CE19*CH19</f>
        <v>3.9419406388224569</v>
      </c>
      <c r="CM19" s="247"/>
      <c r="CN19" s="247"/>
      <c r="CO19" s="22"/>
      <c r="CP19" s="105"/>
      <c r="CQ19" s="105"/>
      <c r="CR19" s="96"/>
      <c r="CS19" s="96"/>
    </row>
    <row r="20" spans="2:102" ht="18" customHeight="1">
      <c r="D20" s="237"/>
      <c r="E20" s="237"/>
      <c r="F20" s="258"/>
      <c r="G20" s="237" t="s">
        <v>166</v>
      </c>
      <c r="H20" s="237"/>
      <c r="I20" s="237"/>
      <c r="J20" s="237"/>
      <c r="K20" s="237"/>
      <c r="L20" s="3"/>
      <c r="M20" s="258"/>
      <c r="N20" s="3"/>
      <c r="O20" s="3"/>
      <c r="P20" s="261">
        <f>J15</f>
        <v>157.006130128412</v>
      </c>
      <c r="Q20" s="261"/>
      <c r="R20" s="261"/>
      <c r="S20" s="3"/>
      <c r="T20" s="3"/>
      <c r="V20" s="258"/>
      <c r="W20" s="238"/>
      <c r="X20" s="238"/>
      <c r="Y20" s="238"/>
      <c r="Z20" s="292"/>
      <c r="AA20" s="10"/>
      <c r="AB20" s="10"/>
      <c r="AC20" s="10"/>
      <c r="AD20" s="10"/>
      <c r="AE20" s="10"/>
      <c r="AF20" s="10"/>
      <c r="AG20" s="10"/>
      <c r="AH20" s="10"/>
      <c r="AJ20" s="3"/>
      <c r="AM20" s="301" t="s">
        <v>192</v>
      </c>
      <c r="AN20" s="301"/>
      <c r="AO20" s="3" t="s">
        <v>194</v>
      </c>
      <c r="BV20" s="21"/>
      <c r="BW20" s="21"/>
      <c r="BX20" s="4"/>
      <c r="BY20" s="21"/>
      <c r="BZ20" s="21"/>
      <c r="CB20" s="21"/>
      <c r="CC20" s="21"/>
      <c r="CD20" s="105"/>
      <c r="CE20" s="105"/>
      <c r="CF20" s="48"/>
      <c r="CH20" s="4"/>
      <c r="CI20" s="31"/>
      <c r="CJ20" s="31"/>
      <c r="CK20" s="31"/>
      <c r="CM20" s="22"/>
      <c r="CN20" s="22"/>
      <c r="CO20" s="22"/>
      <c r="CP20" s="105"/>
      <c r="CQ20" s="105"/>
      <c r="CR20" s="96"/>
      <c r="CS20" s="96"/>
    </row>
    <row r="21" spans="2:102" ht="18" customHeight="1">
      <c r="D21" s="3" t="s">
        <v>453</v>
      </c>
      <c r="W21" s="5"/>
      <c r="AH21" s="6"/>
      <c r="AJ21" s="3"/>
      <c r="AK21" s="3"/>
      <c r="AN21" s="301" t="s">
        <v>192</v>
      </c>
      <c r="AO21" s="301"/>
      <c r="AP21" s="3" t="s">
        <v>163</v>
      </c>
      <c r="AQ21" s="2" t="s">
        <v>221</v>
      </c>
      <c r="AR21" t="s">
        <v>222</v>
      </c>
      <c r="AS21" t="s">
        <v>223</v>
      </c>
      <c r="AT21" s="316" t="s">
        <v>225</v>
      </c>
      <c r="AU21" s="316"/>
      <c r="AV21" s="316"/>
      <c r="AW21" s="3" t="s">
        <v>163</v>
      </c>
      <c r="AX21" s="261">
        <f>'1.設計条件'!T5</f>
        <v>6.1</v>
      </c>
      <c r="AY21" s="261"/>
      <c r="AZ21" s="261"/>
      <c r="BA21" t="s">
        <v>222</v>
      </c>
      <c r="BB21" t="s">
        <v>223</v>
      </c>
      <c r="BC21" s="234" t="s">
        <v>224</v>
      </c>
      <c r="BD21" s="234"/>
      <c r="BE21" s="261">
        <f>'1.設計条件'!T13</f>
        <v>0.4</v>
      </c>
      <c r="BF21" s="261"/>
      <c r="BG21" t="s">
        <v>226</v>
      </c>
      <c r="BH21" s="3" t="s">
        <v>163</v>
      </c>
      <c r="BI21" s="261">
        <f>AX21*SQRT(1+BE21^2)</f>
        <v>6.5699010647040952</v>
      </c>
      <c r="BJ21" s="261"/>
      <c r="BK21" s="261"/>
      <c r="BP21" s="3"/>
      <c r="BQ21" s="3"/>
      <c r="BV21" s="297" t="s">
        <v>209</v>
      </c>
      <c r="BW21" s="297"/>
      <c r="BX21" s="4" t="s">
        <v>2</v>
      </c>
      <c r="BY21" s="53" t="s">
        <v>192</v>
      </c>
      <c r="BZ21" s="50" t="s">
        <v>83</v>
      </c>
      <c r="CA21" s="301" t="s">
        <v>210</v>
      </c>
      <c r="CB21" s="301"/>
      <c r="CC21" s="21"/>
      <c r="CD21" s="4" t="s">
        <v>2</v>
      </c>
      <c r="CE21" s="247">
        <f>BI21</f>
        <v>6.5699010647040952</v>
      </c>
      <c r="CF21" s="247"/>
      <c r="CG21" s="50" t="s">
        <v>83</v>
      </c>
      <c r="CH21" s="247">
        <f>CL19</f>
        <v>3.9419406388224569</v>
      </c>
      <c r="CI21" s="247"/>
      <c r="CK21" s="4" t="s">
        <v>2</v>
      </c>
      <c r="CL21" s="247">
        <f>CE21-CH21</f>
        <v>2.6279604258816383</v>
      </c>
      <c r="CM21" s="247"/>
      <c r="CN21" s="247"/>
      <c r="CO21" s="22"/>
      <c r="CP21" s="105"/>
      <c r="CQ21" s="105"/>
      <c r="CR21" s="96"/>
      <c r="CS21" s="96"/>
    </row>
    <row r="22" spans="2:102" ht="18" customHeight="1">
      <c r="D22" s="282" t="s">
        <v>36</v>
      </c>
      <c r="E22" s="282"/>
      <c r="G22" s="258" t="s">
        <v>2</v>
      </c>
      <c r="H22" s="291">
        <f>'1.設計条件'!T9</f>
        <v>1.3</v>
      </c>
      <c r="I22" s="257"/>
      <c r="J22" s="257"/>
      <c r="L22" s="234" t="s">
        <v>109</v>
      </c>
      <c r="M22" s="207">
        <f>H22/H23</f>
        <v>0.65</v>
      </c>
      <c r="N22" s="207"/>
      <c r="O22" s="207"/>
      <c r="P22" s="234" t="s">
        <v>110</v>
      </c>
      <c r="Q22" s="3"/>
      <c r="R22" s="3"/>
      <c r="S22" s="3"/>
      <c r="T22" s="3"/>
      <c r="W22" s="5"/>
      <c r="AH22" s="6"/>
      <c r="AJ22" s="3"/>
      <c r="AK22" s="3"/>
      <c r="AL22" s="3"/>
      <c r="AM22" s="260" t="s">
        <v>463</v>
      </c>
      <c r="AN22" s="260"/>
      <c r="AO22" t="s">
        <v>464</v>
      </c>
      <c r="BE22" s="3"/>
      <c r="BJ22" s="3"/>
      <c r="BK22" s="3"/>
      <c r="BL22" s="3"/>
      <c r="BM22" s="3"/>
      <c r="BN22" s="3"/>
      <c r="BO22" s="3"/>
      <c r="BP22" s="3"/>
      <c r="BQ22" s="3"/>
      <c r="BV22" s="21"/>
      <c r="BW22" s="21"/>
      <c r="BX22" s="4"/>
      <c r="BY22" s="21"/>
      <c r="BZ22" s="21"/>
      <c r="CB22" s="21"/>
      <c r="CC22" s="21"/>
      <c r="CD22" s="105"/>
      <c r="CE22" s="105"/>
      <c r="CF22" s="48"/>
      <c r="CH22" s="4"/>
      <c r="CI22" s="31"/>
      <c r="CJ22" s="31"/>
      <c r="CK22" s="31"/>
      <c r="CM22" s="22"/>
      <c r="CN22" s="22"/>
      <c r="CO22" s="22"/>
      <c r="CP22" s="105"/>
      <c r="CQ22" s="105"/>
      <c r="CR22" s="96"/>
      <c r="CS22" s="96"/>
    </row>
    <row r="23" spans="2:102" ht="18" customHeight="1">
      <c r="D23" s="283">
        <f>'1.設計条件'!AX33</f>
        <v>2</v>
      </c>
      <c r="E23" s="283"/>
      <c r="G23" s="258"/>
      <c r="H23" s="183">
        <f>D23</f>
        <v>2</v>
      </c>
      <c r="I23" s="183"/>
      <c r="J23" s="183"/>
      <c r="L23" s="234"/>
      <c r="M23" s="207"/>
      <c r="N23" s="207"/>
      <c r="O23" s="207"/>
      <c r="P23" s="234"/>
      <c r="W23" s="5"/>
      <c r="AH23" s="6"/>
      <c r="AJ23" s="3"/>
      <c r="AK23" s="3"/>
      <c r="AL23" s="3"/>
      <c r="AN23" s="260" t="s">
        <v>463</v>
      </c>
      <c r="AO23" s="260"/>
      <c r="AP23" t="s">
        <v>2</v>
      </c>
      <c r="AQ23" s="231" t="s">
        <v>86</v>
      </c>
      <c r="AR23" s="231"/>
      <c r="AS23" s="2" t="s">
        <v>465</v>
      </c>
      <c r="AU23" t="s">
        <v>2</v>
      </c>
      <c r="AV23" s="231" t="s">
        <v>86</v>
      </c>
      <c r="AW23" s="231"/>
      <c r="AX23" s="250">
        <f>'1.設計条件'!T13</f>
        <v>0.4</v>
      </c>
      <c r="AY23" s="250"/>
      <c r="AZ23" t="s">
        <v>2</v>
      </c>
      <c r="BA23" s="233">
        <f>ROUND(ATAN(AX23)*180/PI(),2)</f>
        <v>21.8</v>
      </c>
      <c r="BB23" s="233"/>
      <c r="BC23" s="233"/>
      <c r="BD23" t="s">
        <v>18</v>
      </c>
      <c r="BV23" s="237" t="s">
        <v>191</v>
      </c>
      <c r="BW23" s="237"/>
      <c r="BX23" s="258" t="s">
        <v>2</v>
      </c>
      <c r="BY23" s="51">
        <v>2</v>
      </c>
      <c r="BZ23" s="256" t="s">
        <v>170</v>
      </c>
      <c r="CA23" s="256"/>
      <c r="CB23" s="10"/>
      <c r="CD23" s="258" t="s">
        <v>2</v>
      </c>
      <c r="CE23" s="51">
        <v>2</v>
      </c>
      <c r="CF23" s="10" t="s">
        <v>49</v>
      </c>
      <c r="CG23" s="259">
        <f>CW12</f>
        <v>11.178530650763353</v>
      </c>
      <c r="CH23" s="259"/>
      <c r="CI23" s="10"/>
      <c r="CK23" s="258" t="s">
        <v>2</v>
      </c>
      <c r="CL23" s="238">
        <f>CE23*CG23</f>
        <v>22.357061301526706</v>
      </c>
      <c r="CM23" s="238"/>
      <c r="CN23" s="238"/>
      <c r="CO23" s="20"/>
      <c r="CP23" s="258" t="s">
        <v>2</v>
      </c>
      <c r="CQ23" s="207">
        <f>CL23/CL24</f>
        <v>5.6715875123389079</v>
      </c>
      <c r="CR23" s="207"/>
      <c r="CS23" s="207"/>
    </row>
    <row r="24" spans="2:102" ht="18" customHeight="1">
      <c r="W24" s="5"/>
      <c r="AH24" s="6"/>
      <c r="AJ24" s="3"/>
      <c r="AK24" s="3"/>
      <c r="AL24" s="3"/>
      <c r="AM24" s="237" t="s">
        <v>183</v>
      </c>
      <c r="AN24" s="237"/>
      <c r="AO24" s="3" t="s">
        <v>199</v>
      </c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L24" s="3"/>
      <c r="BM24" s="3"/>
      <c r="BN24" s="3"/>
      <c r="BO24" s="3"/>
      <c r="BP24" s="3"/>
      <c r="BQ24" s="3"/>
      <c r="BV24" s="237"/>
      <c r="BW24" s="237"/>
      <c r="BX24" s="258"/>
      <c r="BY24" s="237" t="s">
        <v>179</v>
      </c>
      <c r="BZ24" s="237"/>
      <c r="CA24" t="s">
        <v>49</v>
      </c>
      <c r="CB24" s="53" t="s">
        <v>192</v>
      </c>
      <c r="CD24" s="258"/>
      <c r="CE24" s="252">
        <f>BO34</f>
        <v>0.6</v>
      </c>
      <c r="CF24" s="251"/>
      <c r="CG24" t="s">
        <v>49</v>
      </c>
      <c r="CH24" s="247">
        <f>BI21</f>
        <v>6.5699010647040952</v>
      </c>
      <c r="CI24" s="247"/>
      <c r="CK24" s="258"/>
      <c r="CL24" s="253">
        <f>CE24*CH24</f>
        <v>3.9419406388224569</v>
      </c>
      <c r="CM24" s="253"/>
      <c r="CN24" s="253"/>
      <c r="CO24" s="20"/>
      <c r="CP24" s="258"/>
      <c r="CQ24" s="207"/>
      <c r="CR24" s="207"/>
      <c r="CS24" s="207"/>
    </row>
    <row r="25" spans="2:102" ht="18" customHeight="1">
      <c r="D25" s="3" t="s">
        <v>114</v>
      </c>
      <c r="U25" s="13"/>
      <c r="W25" s="5"/>
      <c r="AH25" s="6"/>
      <c r="AJ25" s="3"/>
      <c r="AK25" s="3"/>
      <c r="AL25" s="3"/>
      <c r="AM25" s="237" t="s">
        <v>184</v>
      </c>
      <c r="AN25" s="237"/>
      <c r="AO25" s="3" t="s">
        <v>200</v>
      </c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</row>
    <row r="26" spans="2:102" ht="18" customHeight="1">
      <c r="D26" s="299" t="s">
        <v>162</v>
      </c>
      <c r="E26" s="300"/>
      <c r="F26" s="23" t="s">
        <v>109</v>
      </c>
      <c r="G26" s="189">
        <f>W19</f>
        <v>1.1173353884995629</v>
      </c>
      <c r="H26" s="189"/>
      <c r="I26" s="190"/>
      <c r="J26" s="27" t="str">
        <f>IF(G26&lt;=O26, "≦", "&gt;")</f>
        <v>&gt;</v>
      </c>
      <c r="K26" s="302" t="s">
        <v>169</v>
      </c>
      <c r="L26" s="303"/>
      <c r="M26" s="43">
        <v>2</v>
      </c>
      <c r="N26" s="23" t="s">
        <v>109</v>
      </c>
      <c r="O26" s="189">
        <f>M22</f>
        <v>0.65</v>
      </c>
      <c r="P26" s="189"/>
      <c r="Q26" s="190"/>
      <c r="R26" s="3"/>
      <c r="S26" s="127" t="str">
        <f>IF(J26="&gt;", "OK", "NG")</f>
        <v>OK</v>
      </c>
      <c r="T26" s="129"/>
      <c r="U26" s="13"/>
      <c r="W26" s="5"/>
      <c r="AH26" s="6"/>
      <c r="AJ26" s="3"/>
      <c r="AK26" s="3"/>
      <c r="AL26" s="3"/>
      <c r="AM26" s="237" t="s">
        <v>170</v>
      </c>
      <c r="AN26" s="237"/>
      <c r="AO26" s="3" t="s">
        <v>228</v>
      </c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V26" s="237" t="s">
        <v>186</v>
      </c>
      <c r="BW26" s="237"/>
      <c r="BX26" s="258" t="s">
        <v>2</v>
      </c>
      <c r="BY26" s="51">
        <v>2</v>
      </c>
      <c r="BZ26" s="256" t="s">
        <v>183</v>
      </c>
      <c r="CA26" s="256"/>
      <c r="CB26" s="51" t="s">
        <v>188</v>
      </c>
      <c r="CC26" s="46" t="s">
        <v>171</v>
      </c>
      <c r="CD26" s="51">
        <v>3</v>
      </c>
      <c r="CE26" s="256" t="s">
        <v>172</v>
      </c>
      <c r="CF26" s="256"/>
      <c r="CG26" s="52" t="s">
        <v>176</v>
      </c>
      <c r="CI26" s="258" t="s">
        <v>2</v>
      </c>
      <c r="CJ26" s="51">
        <v>2</v>
      </c>
      <c r="CK26" s="291">
        <f>CU15</f>
        <v>152.85478339600604</v>
      </c>
      <c r="CL26" s="291"/>
      <c r="CM26" s="291"/>
      <c r="CN26" s="51" t="s">
        <v>188</v>
      </c>
      <c r="CO26" s="46" t="s">
        <v>171</v>
      </c>
      <c r="CP26" s="51">
        <v>3</v>
      </c>
      <c r="CQ26" s="216">
        <f>BO35</f>
        <v>0.56000000000000005</v>
      </c>
      <c r="CR26" s="216"/>
      <c r="CS26" s="52" t="s">
        <v>176</v>
      </c>
      <c r="CU26" s="258" t="s">
        <v>2</v>
      </c>
      <c r="CV26" s="291">
        <f>CJ26*CK26*(2-3*CQ26)</f>
        <v>97.827061373443811</v>
      </c>
      <c r="CW26" s="291"/>
      <c r="CX26" s="291"/>
    </row>
    <row r="27" spans="2:102" ht="18" customHeight="1">
      <c r="U27" s="13"/>
      <c r="W27" s="5"/>
      <c r="AH27" s="6"/>
      <c r="AK27" s="3"/>
      <c r="AL27" s="3"/>
      <c r="AM27" s="21"/>
      <c r="AO27" s="3" t="s">
        <v>203</v>
      </c>
      <c r="AP27" s="3"/>
      <c r="AQ27" s="3"/>
      <c r="AR27" s="274" t="s">
        <v>162</v>
      </c>
      <c r="AS27" s="274"/>
      <c r="AT27" s="3" t="s">
        <v>201</v>
      </c>
      <c r="AU27" s="237" t="s">
        <v>172</v>
      </c>
      <c r="AV27" s="237"/>
      <c r="AW27" t="s">
        <v>173</v>
      </c>
      <c r="AX27" s="44" t="s">
        <v>174</v>
      </c>
      <c r="AY27" s="3" t="s">
        <v>202</v>
      </c>
      <c r="AZ27" s="3"/>
      <c r="BA27" s="3"/>
      <c r="BB27" s="237" t="s">
        <v>170</v>
      </c>
      <c r="BC27" s="237"/>
      <c r="BD27" s="3" t="s">
        <v>163</v>
      </c>
      <c r="BE27" s="49">
        <v>0</v>
      </c>
      <c r="BV27" s="237"/>
      <c r="BW27" s="237"/>
      <c r="BX27" s="258"/>
      <c r="BZ27" s="20"/>
      <c r="CC27" s="44" t="s">
        <v>174</v>
      </c>
      <c r="CI27" s="258"/>
      <c r="CM27" s="261">
        <f>'1.設計条件'!T9</f>
        <v>1.3</v>
      </c>
      <c r="CN27" s="261"/>
      <c r="CO27" s="261"/>
      <c r="CU27" s="258"/>
      <c r="CV27" s="261">
        <f>CM27</f>
        <v>1.3</v>
      </c>
      <c r="CW27" s="261"/>
      <c r="CX27" s="261"/>
    </row>
    <row r="28" spans="2:102" ht="18" customHeight="1">
      <c r="U28" s="13"/>
      <c r="W28" s="7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8"/>
      <c r="AL28" s="3"/>
      <c r="AM28" s="237" t="s">
        <v>186</v>
      </c>
      <c r="AN28" s="237"/>
      <c r="AO28" s="3" t="s">
        <v>204</v>
      </c>
      <c r="BU28" s="3"/>
      <c r="BX28" s="4" t="s">
        <v>163</v>
      </c>
      <c r="BY28" s="261">
        <f>CV26/CV27</f>
        <v>75.251585671879852</v>
      </c>
      <c r="BZ28" s="261"/>
      <c r="CA28" s="261"/>
    </row>
    <row r="29" spans="2:102" ht="18" customHeight="1">
      <c r="C29" s="3" t="s">
        <v>454</v>
      </c>
      <c r="S29" s="22"/>
      <c r="T29" s="13"/>
      <c r="U29" s="13"/>
      <c r="AL29" s="3"/>
      <c r="AM29" s="237" t="s">
        <v>189</v>
      </c>
      <c r="AN29" s="237"/>
      <c r="AO29" s="3" t="s">
        <v>205</v>
      </c>
      <c r="BU29" s="3"/>
    </row>
    <row r="30" spans="2:102" ht="18" customHeight="1">
      <c r="D30" s="3" t="s">
        <v>455</v>
      </c>
      <c r="S30" s="22"/>
      <c r="T30" s="13"/>
      <c r="U30" s="13"/>
      <c r="AL30" s="3"/>
      <c r="AM30" s="237" t="s">
        <v>191</v>
      </c>
      <c r="AN30" s="237"/>
      <c r="AO30" s="3" t="s">
        <v>206</v>
      </c>
      <c r="BV30" s="237" t="s">
        <v>189</v>
      </c>
      <c r="BW30" s="237"/>
      <c r="BX30" s="258" t="s">
        <v>2</v>
      </c>
      <c r="BY30" s="51">
        <v>2</v>
      </c>
      <c r="BZ30" s="256" t="s">
        <v>183</v>
      </c>
      <c r="CA30" s="256"/>
      <c r="CB30" s="51" t="s">
        <v>190</v>
      </c>
      <c r="CC30" s="256" t="s">
        <v>172</v>
      </c>
      <c r="CD30" s="256"/>
      <c r="CE30" s="46" t="s">
        <v>171</v>
      </c>
      <c r="CF30" s="51">
        <v>1</v>
      </c>
      <c r="CG30" s="52" t="s">
        <v>176</v>
      </c>
      <c r="CI30" s="258" t="s">
        <v>2</v>
      </c>
      <c r="CJ30" s="51">
        <v>2</v>
      </c>
      <c r="CK30" s="291">
        <f>CU15</f>
        <v>152.85478339600604</v>
      </c>
      <c r="CL30" s="291"/>
      <c r="CM30" s="291"/>
      <c r="CN30" s="51" t="s">
        <v>190</v>
      </c>
      <c r="CO30" s="216">
        <f>BO35</f>
        <v>0.56000000000000005</v>
      </c>
      <c r="CP30" s="216"/>
      <c r="CQ30" s="46" t="s">
        <v>171</v>
      </c>
      <c r="CR30" s="51">
        <v>1</v>
      </c>
      <c r="CS30" s="52" t="s">
        <v>176</v>
      </c>
      <c r="CU30" s="258" t="s">
        <v>2</v>
      </c>
      <c r="CV30" s="291">
        <f>CJ30*CK30*(3*CO30-1)</f>
        <v>207.88250541856826</v>
      </c>
      <c r="CW30" s="291"/>
      <c r="CX30" s="291"/>
    </row>
    <row r="31" spans="2:102" ht="18" customHeight="1">
      <c r="D31" s="245" t="s">
        <v>115</v>
      </c>
      <c r="E31" s="245"/>
      <c r="F31" s="258" t="s">
        <v>2</v>
      </c>
      <c r="G31" s="256" t="s">
        <v>456</v>
      </c>
      <c r="H31" s="256"/>
      <c r="I31" s="103" t="s">
        <v>117</v>
      </c>
      <c r="J31" s="102" t="s">
        <v>457</v>
      </c>
      <c r="K31" s="257" t="s">
        <v>458</v>
      </c>
      <c r="L31" s="257"/>
      <c r="M31" s="95" t="s">
        <v>459</v>
      </c>
      <c r="N31" s="3"/>
      <c r="O31" s="3"/>
      <c r="P31" s="3"/>
      <c r="Q31" s="3"/>
      <c r="AL31" s="3"/>
      <c r="AM31" s="237" t="s">
        <v>207</v>
      </c>
      <c r="AN31" s="237"/>
      <c r="AO31" s="3" t="s">
        <v>208</v>
      </c>
      <c r="BV31" s="237"/>
      <c r="BW31" s="237"/>
      <c r="BX31" s="258"/>
      <c r="BZ31" s="20"/>
      <c r="CC31" s="44" t="s">
        <v>174</v>
      </c>
      <c r="CI31" s="258"/>
      <c r="CM31" s="261">
        <f>'1.設計条件'!T9</f>
        <v>1.3</v>
      </c>
      <c r="CN31" s="261"/>
      <c r="CO31" s="261"/>
      <c r="CU31" s="258"/>
      <c r="CV31" s="261">
        <f>CM31</f>
        <v>1.3</v>
      </c>
      <c r="CW31" s="261"/>
      <c r="CX31" s="261"/>
    </row>
    <row r="32" spans="2:102" ht="18" customHeight="1">
      <c r="D32" s="245"/>
      <c r="E32" s="245"/>
      <c r="F32" s="258"/>
      <c r="G32" s="3"/>
      <c r="H32" s="3"/>
      <c r="I32" s="237" t="s">
        <v>198</v>
      </c>
      <c r="J32" s="237"/>
      <c r="K32" s="3"/>
      <c r="L32" s="3"/>
      <c r="M32" s="3"/>
      <c r="N32" s="3"/>
      <c r="O32" s="3"/>
      <c r="P32" s="3"/>
      <c r="Q32" s="3"/>
      <c r="AL32" s="3"/>
      <c r="AM32" s="297" t="s">
        <v>209</v>
      </c>
      <c r="AN32" s="297"/>
      <c r="AO32" s="3" t="s">
        <v>211</v>
      </c>
      <c r="BX32" s="4" t="s">
        <v>163</v>
      </c>
      <c r="BY32" s="261">
        <f>CV30/CV31</f>
        <v>159.9096195527448</v>
      </c>
      <c r="BZ32" s="261"/>
      <c r="CA32" s="261"/>
    </row>
    <row r="33" spans="4:105" ht="18" customHeight="1">
      <c r="D33" s="3" t="s">
        <v>460</v>
      </c>
      <c r="AL33" s="3"/>
      <c r="AM33" s="297" t="s">
        <v>210</v>
      </c>
      <c r="AN33" s="297"/>
      <c r="AO33" s="3" t="s">
        <v>212</v>
      </c>
    </row>
    <row r="34" spans="4:105" ht="18" customHeight="1">
      <c r="D34" s="245" t="s">
        <v>115</v>
      </c>
      <c r="E34" s="245"/>
      <c r="F34" s="258" t="s">
        <v>2</v>
      </c>
      <c r="G34" s="256" t="s">
        <v>167</v>
      </c>
      <c r="H34" s="256"/>
      <c r="I34" s="29" t="s">
        <v>116</v>
      </c>
      <c r="J34" s="30" t="s">
        <v>117</v>
      </c>
      <c r="K34" s="3"/>
      <c r="L34" s="258" t="s">
        <v>2</v>
      </c>
      <c r="M34" s="291">
        <f>J15</f>
        <v>157.006130128412</v>
      </c>
      <c r="N34" s="291"/>
      <c r="O34" s="291"/>
      <c r="P34" s="29" t="s">
        <v>116</v>
      </c>
      <c r="Q34" s="259">
        <f>'1.設計条件'!T31</f>
        <v>0.6</v>
      </c>
      <c r="R34" s="298"/>
      <c r="S34" s="3"/>
      <c r="T34" s="258" t="s">
        <v>2</v>
      </c>
      <c r="U34" s="247">
        <f>M34/O35*Q34</f>
        <v>1.945525353250404</v>
      </c>
      <c r="V34" s="247"/>
      <c r="W34" s="247"/>
      <c r="AL34" s="3"/>
      <c r="AM34" s="237" t="s">
        <v>179</v>
      </c>
      <c r="AN34" s="237"/>
      <c r="AO34" s="3" t="s">
        <v>231</v>
      </c>
      <c r="BE34" s="3"/>
      <c r="BL34" s="237" t="s">
        <v>179</v>
      </c>
      <c r="BM34" s="237"/>
      <c r="BN34" t="s">
        <v>163</v>
      </c>
      <c r="BO34" s="314">
        <f>_xlfn.IFS('1.設計条件'!T13=0.3, 0.5, '1.設計条件'!T13=0.4, 0.6,'1.設計条件'!T13=0.5, 0.7)</f>
        <v>0.6</v>
      </c>
      <c r="BP34" s="314"/>
      <c r="BV34" s="3" t="s">
        <v>114</v>
      </c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</row>
    <row r="35" spans="4:105" ht="18" customHeight="1">
      <c r="D35" s="245"/>
      <c r="E35" s="245"/>
      <c r="F35" s="258"/>
      <c r="G35" s="3"/>
      <c r="H35" s="237" t="s">
        <v>168</v>
      </c>
      <c r="I35" s="237"/>
      <c r="J35" s="3"/>
      <c r="K35" s="3"/>
      <c r="L35" s="258"/>
      <c r="M35" s="3"/>
      <c r="N35" s="3"/>
      <c r="O35" s="261">
        <f>M15</f>
        <v>48.420689002926842</v>
      </c>
      <c r="P35" s="261"/>
      <c r="Q35" s="261"/>
      <c r="R35" s="3"/>
      <c r="S35" s="3"/>
      <c r="T35" s="258"/>
      <c r="U35" s="247"/>
      <c r="V35" s="247"/>
      <c r="W35" s="247"/>
      <c r="AL35" s="3"/>
      <c r="AM35" s="237" t="s">
        <v>219</v>
      </c>
      <c r="AN35" s="237"/>
      <c r="AO35" s="3" t="s">
        <v>213</v>
      </c>
      <c r="BE35" s="3"/>
      <c r="BL35" s="237" t="s">
        <v>172</v>
      </c>
      <c r="BM35" s="237"/>
      <c r="BN35" t="s">
        <v>163</v>
      </c>
      <c r="BO35" s="184">
        <v>0.56000000000000005</v>
      </c>
      <c r="BP35" s="184"/>
      <c r="BV35" s="307" t="s">
        <v>186</v>
      </c>
      <c r="BW35" s="308"/>
      <c r="BX35" s="23" t="s">
        <v>109</v>
      </c>
      <c r="BY35" s="189">
        <f>BY28</f>
        <v>75.251585671879852</v>
      </c>
      <c r="BZ35" s="189"/>
      <c r="CA35" s="190"/>
      <c r="CB35" s="27" t="str">
        <f>IF(BY35&lt;=CH35, "≦", "&gt;")</f>
        <v>≦</v>
      </c>
      <c r="CC35" s="127" t="s">
        <v>119</v>
      </c>
      <c r="CD35" s="128"/>
      <c r="CE35" s="128"/>
      <c r="CF35" s="128"/>
      <c r="CG35" s="128"/>
      <c r="CH35" s="175">
        <f>'1.設計条件'!T33</f>
        <v>300</v>
      </c>
      <c r="CI35" s="315"/>
      <c r="CJ35" s="3"/>
      <c r="CK35" s="127" t="str">
        <f>IF(CB35="≦", "OK", "NG")</f>
        <v>OK</v>
      </c>
      <c r="CL35" s="129"/>
    </row>
    <row r="36" spans="4:105" ht="18" customHeight="1">
      <c r="D36" s="3" t="s">
        <v>114</v>
      </c>
      <c r="AL36" s="3"/>
      <c r="AM36" s="21"/>
      <c r="AN36" s="21"/>
      <c r="AO36" s="3"/>
      <c r="BE36" s="3"/>
      <c r="BL36" s="21"/>
      <c r="BM36" s="21"/>
      <c r="BO36" s="13"/>
      <c r="BP36" s="1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</row>
    <row r="37" spans="4:105" ht="18" customHeight="1">
      <c r="D37" s="293" t="s">
        <v>115</v>
      </c>
      <c r="E37" s="294"/>
      <c r="F37" s="23" t="s">
        <v>109</v>
      </c>
      <c r="G37" s="189">
        <f>M34/O35*Q34</f>
        <v>1.945525353250404</v>
      </c>
      <c r="H37" s="189"/>
      <c r="I37" s="190"/>
      <c r="J37" s="27" t="str">
        <f>IF(G37&lt;=O37, "&lt;", "≧")</f>
        <v>≧</v>
      </c>
      <c r="K37" s="127" t="s">
        <v>118</v>
      </c>
      <c r="L37" s="128"/>
      <c r="M37" s="128"/>
      <c r="N37" s="128"/>
      <c r="O37" s="295">
        <f>'1.設計条件'!AT34</f>
        <v>1.5</v>
      </c>
      <c r="P37" s="296"/>
      <c r="Q37" s="3"/>
      <c r="R37" s="3"/>
      <c r="S37" s="127" t="str">
        <f>IF(J37="≧", "OK", "NG")</f>
        <v>OK</v>
      </c>
      <c r="T37" s="129"/>
      <c r="AL37" s="3"/>
      <c r="AO37" s="54" t="s">
        <v>214</v>
      </c>
      <c r="AP37" s="55"/>
      <c r="AQ37" s="55"/>
      <c r="AR37" s="55"/>
      <c r="AS37" s="55"/>
      <c r="AT37" s="56"/>
      <c r="AU37" s="309" t="s">
        <v>216</v>
      </c>
      <c r="AV37" s="310"/>
      <c r="AW37" s="310"/>
      <c r="AX37" s="310"/>
      <c r="AY37" s="310"/>
      <c r="AZ37" s="309" t="s">
        <v>217</v>
      </c>
      <c r="BA37" s="310"/>
      <c r="BB37" s="310"/>
      <c r="BC37" s="310"/>
      <c r="BD37" s="310"/>
      <c r="BE37" s="309" t="s">
        <v>218</v>
      </c>
      <c r="BF37" s="310"/>
      <c r="BG37" s="310"/>
      <c r="BH37" s="310"/>
      <c r="BI37" s="310"/>
      <c r="BJ37" s="58"/>
      <c r="BV37" s="307" t="s">
        <v>189</v>
      </c>
      <c r="BW37" s="308"/>
      <c r="BX37" s="23" t="s">
        <v>109</v>
      </c>
      <c r="BY37" s="189">
        <f>BY32</f>
        <v>159.9096195527448</v>
      </c>
      <c r="BZ37" s="189"/>
      <c r="CA37" s="190"/>
      <c r="CB37" s="27" t="str">
        <f>IF(BY37&lt;=CH37, "≦", "&gt;")</f>
        <v>≦</v>
      </c>
      <c r="CC37" s="127" t="s">
        <v>119</v>
      </c>
      <c r="CD37" s="128"/>
      <c r="CE37" s="128"/>
      <c r="CF37" s="128"/>
      <c r="CG37" s="128"/>
      <c r="CH37" s="175">
        <f>'1.設計条件'!T33</f>
        <v>300</v>
      </c>
      <c r="CI37" s="315"/>
      <c r="CJ37" s="3"/>
      <c r="CK37" s="127" t="str">
        <f>IF(CB37="≦", "OK", "NG")</f>
        <v>OK</v>
      </c>
      <c r="CL37" s="129"/>
    </row>
    <row r="38" spans="4:105" ht="18" customHeight="1">
      <c r="AI38">
        <v>7</v>
      </c>
      <c r="AL38" s="3"/>
      <c r="AO38" s="307" t="s">
        <v>179</v>
      </c>
      <c r="AP38" s="308"/>
      <c r="AQ38" s="57" t="s">
        <v>215</v>
      </c>
      <c r="AR38" s="55"/>
      <c r="AS38" s="55"/>
      <c r="AT38" s="56"/>
      <c r="AU38" s="311">
        <v>0.5</v>
      </c>
      <c r="AV38" s="312"/>
      <c r="AW38" s="312"/>
      <c r="AX38" s="312"/>
      <c r="AY38" s="313"/>
      <c r="AZ38" s="311">
        <v>0.6</v>
      </c>
      <c r="BA38" s="312"/>
      <c r="BB38" s="312"/>
      <c r="BC38" s="312"/>
      <c r="BD38" s="313"/>
      <c r="BE38" s="311">
        <v>0.7</v>
      </c>
      <c r="BF38" s="312"/>
      <c r="BG38" s="312"/>
      <c r="BH38" s="312"/>
      <c r="BI38" s="312"/>
      <c r="BJ38" s="40"/>
      <c r="BR38">
        <v>8</v>
      </c>
      <c r="DA38">
        <v>9</v>
      </c>
    </row>
  </sheetData>
  <sheetProtection sheet="1" objects="1" scenarios="1"/>
  <mergeCells count="305">
    <mergeCell ref="P9:R9"/>
    <mergeCell ref="S9:U9"/>
    <mergeCell ref="P7:R7"/>
    <mergeCell ref="S7:U7"/>
    <mergeCell ref="Z11:AC11"/>
    <mergeCell ref="V10:Y10"/>
    <mergeCell ref="Z7:AC7"/>
    <mergeCell ref="P8:R8"/>
    <mergeCell ref="S8:U8"/>
    <mergeCell ref="V11:Y11"/>
    <mergeCell ref="V9:Y9"/>
    <mergeCell ref="Z8:AC8"/>
    <mergeCell ref="Z13:AC13"/>
    <mergeCell ref="CI10:CK10"/>
    <mergeCell ref="CN10:CO10"/>
    <mergeCell ref="CM13:CN13"/>
    <mergeCell ref="Z9:AC9"/>
    <mergeCell ref="Z10:AC10"/>
    <mergeCell ref="V7:Y7"/>
    <mergeCell ref="V8:Y8"/>
    <mergeCell ref="CP23:CP24"/>
    <mergeCell ref="CQ23:CS24"/>
    <mergeCell ref="CU15:CW15"/>
    <mergeCell ref="CH17:CJ17"/>
    <mergeCell ref="CQ17:CR17"/>
    <mergeCell ref="CU17:CW17"/>
    <mergeCell ref="CL15:CN15"/>
    <mergeCell ref="CL17:CN17"/>
    <mergeCell ref="Z12:AC12"/>
    <mergeCell ref="CV12:CV13"/>
    <mergeCell ref="CW12:CY13"/>
    <mergeCell ref="BX12:BX13"/>
    <mergeCell ref="BY12:CA12"/>
    <mergeCell ref="CC12:CE12"/>
    <mergeCell ref="CQ12:CQ13"/>
    <mergeCell ref="CR12:CT12"/>
    <mergeCell ref="BY13:BZ13"/>
    <mergeCell ref="CB13:CC13"/>
    <mergeCell ref="CE13:CF13"/>
    <mergeCell ref="CR13:CT13"/>
    <mergeCell ref="CH19:CI19"/>
    <mergeCell ref="CL19:CN19"/>
    <mergeCell ref="BV21:BW21"/>
    <mergeCell ref="CA21:CB21"/>
    <mergeCell ref="CV27:CX27"/>
    <mergeCell ref="BV30:BW31"/>
    <mergeCell ref="BX30:BX31"/>
    <mergeCell ref="BZ30:CA30"/>
    <mergeCell ref="CC30:CD30"/>
    <mergeCell ref="CI30:CI31"/>
    <mergeCell ref="CK30:CM30"/>
    <mergeCell ref="CO30:CP30"/>
    <mergeCell ref="CM31:CO31"/>
    <mergeCell ref="CU30:CU31"/>
    <mergeCell ref="CV30:CX30"/>
    <mergeCell ref="CV31:CX31"/>
    <mergeCell ref="BY28:CA28"/>
    <mergeCell ref="BX26:BX27"/>
    <mergeCell ref="BZ26:CA26"/>
    <mergeCell ref="CE26:CF26"/>
    <mergeCell ref="CV26:CX26"/>
    <mergeCell ref="CM27:CO27"/>
    <mergeCell ref="CQ26:CR26"/>
    <mergeCell ref="CH3:CJ3"/>
    <mergeCell ref="BV15:BW15"/>
    <mergeCell ref="CH15:CJ15"/>
    <mergeCell ref="BY15:BZ15"/>
    <mergeCell ref="CB15:CC15"/>
    <mergeCell ref="BZ4:CA4"/>
    <mergeCell ref="CC4:CD4"/>
    <mergeCell ref="CQ15:CR15"/>
    <mergeCell ref="BV6:BW7"/>
    <mergeCell ref="BX6:BX7"/>
    <mergeCell ref="BY6:BZ6"/>
    <mergeCell ref="CB6:CC6"/>
    <mergeCell ref="CG6:CH6"/>
    <mergeCell ref="CD7:CE7"/>
    <mergeCell ref="CJ7:CK7"/>
    <mergeCell ref="BX9:BX10"/>
    <mergeCell ref="BY9:CA9"/>
    <mergeCell ref="CC9:CD9"/>
    <mergeCell ref="CF9:CG9"/>
    <mergeCell ref="CI9:CK9"/>
    <mergeCell ref="BY10:BZ10"/>
    <mergeCell ref="CB10:CC10"/>
    <mergeCell ref="CF10:CG10"/>
    <mergeCell ref="CI13:CK13"/>
    <mergeCell ref="CC37:CG37"/>
    <mergeCell ref="AQ15:AR15"/>
    <mergeCell ref="AV11:AW11"/>
    <mergeCell ref="AP16:AQ16"/>
    <mergeCell ref="AN21:AO21"/>
    <mergeCell ref="AX21:AZ21"/>
    <mergeCell ref="AT21:AV21"/>
    <mergeCell ref="BC21:BD21"/>
    <mergeCell ref="BV2:BW2"/>
    <mergeCell ref="BY2:CA2"/>
    <mergeCell ref="BV3:BW3"/>
    <mergeCell ref="CA3:CB3"/>
    <mergeCell ref="CD3:CF3"/>
    <mergeCell ref="BV17:BW17"/>
    <mergeCell ref="BY17:BZ17"/>
    <mergeCell ref="CB17:CC17"/>
    <mergeCell ref="AT13:AU13"/>
    <mergeCell ref="BA5:BB5"/>
    <mergeCell ref="AX4:AY4"/>
    <mergeCell ref="AU5:AV5"/>
    <mergeCell ref="BA23:BC23"/>
    <mergeCell ref="BV19:BW19"/>
    <mergeCell ref="BY19:BZ19"/>
    <mergeCell ref="CE19:CF19"/>
    <mergeCell ref="BL34:BM34"/>
    <mergeCell ref="BO34:BP34"/>
    <mergeCell ref="BL35:BM35"/>
    <mergeCell ref="BO35:BP35"/>
    <mergeCell ref="CU26:CU27"/>
    <mergeCell ref="BV35:BW35"/>
    <mergeCell ref="BV37:BW37"/>
    <mergeCell ref="BY32:CA32"/>
    <mergeCell ref="AX19:AZ19"/>
    <mergeCell ref="BB19:BD19"/>
    <mergeCell ref="BG19:BI19"/>
    <mergeCell ref="BB27:BC27"/>
    <mergeCell ref="BE21:BF21"/>
    <mergeCell ref="BI21:BK21"/>
    <mergeCell ref="BV26:BW27"/>
    <mergeCell ref="CI26:CI27"/>
    <mergeCell ref="CK26:CM26"/>
    <mergeCell ref="CH37:CI37"/>
    <mergeCell ref="CK37:CL37"/>
    <mergeCell ref="BY35:CA35"/>
    <mergeCell ref="CC35:CG35"/>
    <mergeCell ref="CH35:CI35"/>
    <mergeCell ref="CK35:CL35"/>
    <mergeCell ref="BY37:CA37"/>
    <mergeCell ref="AO38:AP38"/>
    <mergeCell ref="AU37:AY37"/>
    <mergeCell ref="AZ37:BD37"/>
    <mergeCell ref="BE37:BI37"/>
    <mergeCell ref="AU38:AY38"/>
    <mergeCell ref="AZ38:BD38"/>
    <mergeCell ref="BE38:BI38"/>
    <mergeCell ref="AM7:AN7"/>
    <mergeCell ref="AP7:AQ7"/>
    <mergeCell ref="AS7:AT7"/>
    <mergeCell ref="AM9:AN9"/>
    <mergeCell ref="AP9:AQ9"/>
    <mergeCell ref="AS9:AT9"/>
    <mergeCell ref="AM35:AN35"/>
    <mergeCell ref="AQ19:AR19"/>
    <mergeCell ref="AT19:AU19"/>
    <mergeCell ref="AR27:AS27"/>
    <mergeCell ref="AU27:AV27"/>
    <mergeCell ref="AM15:AN16"/>
    <mergeCell ref="AQ11:AR11"/>
    <mergeCell ref="AQ13:AR13"/>
    <mergeCell ref="AM11:AN12"/>
    <mergeCell ref="AO11:AO12"/>
    <mergeCell ref="AX23:AY23"/>
    <mergeCell ref="AM4:AN5"/>
    <mergeCell ref="AO4:AO5"/>
    <mergeCell ref="AP4:AQ4"/>
    <mergeCell ref="AS4:AT4"/>
    <mergeCell ref="AM20:AN20"/>
    <mergeCell ref="AM26:AN26"/>
    <mergeCell ref="F34:F35"/>
    <mergeCell ref="G34:H34"/>
    <mergeCell ref="L34:L35"/>
    <mergeCell ref="M34:O34"/>
    <mergeCell ref="H35:I35"/>
    <mergeCell ref="L22:L23"/>
    <mergeCell ref="M22:O23"/>
    <mergeCell ref="S26:T26"/>
    <mergeCell ref="K26:L26"/>
    <mergeCell ref="G19:K19"/>
    <mergeCell ref="M19:M20"/>
    <mergeCell ref="N19:P19"/>
    <mergeCell ref="R19:T19"/>
    <mergeCell ref="AM13:AN14"/>
    <mergeCell ref="AO13:AO14"/>
    <mergeCell ref="M14:O14"/>
    <mergeCell ref="P14:R14"/>
    <mergeCell ref="D7:F7"/>
    <mergeCell ref="D37:E37"/>
    <mergeCell ref="G37:I37"/>
    <mergeCell ref="K37:N37"/>
    <mergeCell ref="D34:E35"/>
    <mergeCell ref="U34:W35"/>
    <mergeCell ref="O35:Q35"/>
    <mergeCell ref="O37:P37"/>
    <mergeCell ref="S37:T37"/>
    <mergeCell ref="AM24:AN24"/>
    <mergeCell ref="AM25:AN25"/>
    <mergeCell ref="AM32:AN32"/>
    <mergeCell ref="AM33:AN33"/>
    <mergeCell ref="AM28:AN28"/>
    <mergeCell ref="AM29:AN29"/>
    <mergeCell ref="AM30:AN30"/>
    <mergeCell ref="AM31:AN31"/>
    <mergeCell ref="AM34:AN34"/>
    <mergeCell ref="Q34:R34"/>
    <mergeCell ref="T34:T35"/>
    <mergeCell ref="D26:E26"/>
    <mergeCell ref="G26:I26"/>
    <mergeCell ref="O26:Q26"/>
    <mergeCell ref="D31:E32"/>
    <mergeCell ref="F31:F32"/>
    <mergeCell ref="D22:E22"/>
    <mergeCell ref="D23:E23"/>
    <mergeCell ref="AO15:AO16"/>
    <mergeCell ref="AM18:AN18"/>
    <mergeCell ref="AN19:AO19"/>
    <mergeCell ref="H23:J23"/>
    <mergeCell ref="P22:P23"/>
    <mergeCell ref="S14:U14"/>
    <mergeCell ref="V14:Y14"/>
    <mergeCell ref="Z14:AC14"/>
    <mergeCell ref="Z15:AC15"/>
    <mergeCell ref="D19:E20"/>
    <mergeCell ref="F19:F20"/>
    <mergeCell ref="J15:L15"/>
    <mergeCell ref="M15:O15"/>
    <mergeCell ref="P15:R15"/>
    <mergeCell ref="S15:U15"/>
    <mergeCell ref="V15:Y15"/>
    <mergeCell ref="AM22:AN22"/>
    <mergeCell ref="G22:G23"/>
    <mergeCell ref="H22:J22"/>
    <mergeCell ref="V19:V20"/>
    <mergeCell ref="W19:Y20"/>
    <mergeCell ref="Z19:Z20"/>
    <mergeCell ref="V4:AC4"/>
    <mergeCell ref="J5:L5"/>
    <mergeCell ref="M5:O5"/>
    <mergeCell ref="P5:R5"/>
    <mergeCell ref="S5:U5"/>
    <mergeCell ref="V5:Y5"/>
    <mergeCell ref="Z5:AC5"/>
    <mergeCell ref="J6:L6"/>
    <mergeCell ref="M6:O6"/>
    <mergeCell ref="P6:R6"/>
    <mergeCell ref="S6:U6"/>
    <mergeCell ref="Z6:AC6"/>
    <mergeCell ref="J4:L4"/>
    <mergeCell ref="M4:O4"/>
    <mergeCell ref="P4:U4"/>
    <mergeCell ref="V6:Y6"/>
    <mergeCell ref="H7:I7"/>
    <mergeCell ref="H8:I8"/>
    <mergeCell ref="H9:I9"/>
    <mergeCell ref="H10:I10"/>
    <mergeCell ref="H11:I11"/>
    <mergeCell ref="J10:L10"/>
    <mergeCell ref="M10:O10"/>
    <mergeCell ref="J14:L14"/>
    <mergeCell ref="J11:L11"/>
    <mergeCell ref="M11:O11"/>
    <mergeCell ref="J7:L7"/>
    <mergeCell ref="M7:O7"/>
    <mergeCell ref="J13:L13"/>
    <mergeCell ref="J9:L9"/>
    <mergeCell ref="M9:O9"/>
    <mergeCell ref="M13:O13"/>
    <mergeCell ref="J8:L8"/>
    <mergeCell ref="M8:O8"/>
    <mergeCell ref="D14:F14"/>
    <mergeCell ref="D15:F15"/>
    <mergeCell ref="G14:I14"/>
    <mergeCell ref="G15:I15"/>
    <mergeCell ref="P10:R10"/>
    <mergeCell ref="S10:U10"/>
    <mergeCell ref="H12:I12"/>
    <mergeCell ref="G13:I13"/>
    <mergeCell ref="J12:L12"/>
    <mergeCell ref="M12:O12"/>
    <mergeCell ref="P12:R12"/>
    <mergeCell ref="S12:U12"/>
    <mergeCell ref="P11:R11"/>
    <mergeCell ref="S11:U11"/>
    <mergeCell ref="P13:R13"/>
    <mergeCell ref="S13:U13"/>
    <mergeCell ref="BY24:BZ24"/>
    <mergeCell ref="CE24:CF24"/>
    <mergeCell ref="CH24:CI24"/>
    <mergeCell ref="CL24:CN24"/>
    <mergeCell ref="CL23:CN23"/>
    <mergeCell ref="V12:Y12"/>
    <mergeCell ref="G31:H31"/>
    <mergeCell ref="K31:L31"/>
    <mergeCell ref="I32:J32"/>
    <mergeCell ref="BV23:BW24"/>
    <mergeCell ref="BX23:BX24"/>
    <mergeCell ref="BZ23:CA23"/>
    <mergeCell ref="CD23:CD24"/>
    <mergeCell ref="CG23:CH23"/>
    <mergeCell ref="CK23:CK24"/>
    <mergeCell ref="AN23:AO23"/>
    <mergeCell ref="AQ23:AR23"/>
    <mergeCell ref="AV23:AW23"/>
    <mergeCell ref="G20:K20"/>
    <mergeCell ref="P20:R20"/>
    <mergeCell ref="V13:Y13"/>
    <mergeCell ref="CE21:CF21"/>
    <mergeCell ref="CH21:CI21"/>
    <mergeCell ref="CL21:CN21"/>
  </mergeCells>
  <phoneticPr fontId="1"/>
  <conditionalFormatting sqref="S26:T26">
    <cfRule type="cellIs" dxfId="6" priority="3" operator="equal">
      <formula>"NG"</formula>
    </cfRule>
  </conditionalFormatting>
  <conditionalFormatting sqref="S37:T37">
    <cfRule type="cellIs" dxfId="5" priority="4" operator="equal">
      <formula>"NG"</formula>
    </cfRule>
  </conditionalFormatting>
  <conditionalFormatting sqref="CK35:CL35">
    <cfRule type="cellIs" dxfId="4" priority="2" operator="equal">
      <formula>"NG"</formula>
    </cfRule>
  </conditionalFormatting>
  <conditionalFormatting sqref="CK37:CL37">
    <cfRule type="cellIs" dxfId="3" priority="1" operator="equal">
      <formula>"NG"</formula>
    </cfRule>
  </conditionalFormatting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B99AF-8952-41D5-8DED-155433C0E4B5}">
  <dimension ref="A1:DB38"/>
  <sheetViews>
    <sheetView showGridLines="0" view="pageBreakPreview" zoomScale="70" zoomScaleNormal="70" zoomScaleSheetLayoutView="70" workbookViewId="0">
      <selection activeCell="A2" sqref="A2"/>
    </sheetView>
  </sheetViews>
  <sheetFormatPr defaultRowHeight="18"/>
  <cols>
    <col min="1" max="70" width="3" customWidth="1"/>
    <col min="71" max="105" width="2.8984375" customWidth="1"/>
  </cols>
  <sheetData>
    <row r="1" spans="1:105" ht="18" customHeight="1">
      <c r="A1" s="3" t="s">
        <v>510</v>
      </c>
      <c r="CQ1" s="35"/>
      <c r="CR1" s="36"/>
      <c r="CS1" s="36"/>
      <c r="CT1" s="36"/>
      <c r="CU1" s="36"/>
      <c r="CV1" s="36"/>
      <c r="CW1" s="36"/>
      <c r="CX1" s="36"/>
      <c r="CY1" s="36"/>
      <c r="CZ1" s="36"/>
      <c r="DA1" s="41"/>
    </row>
    <row r="2" spans="1:105" ht="18" customHeight="1">
      <c r="B2" t="s">
        <v>479</v>
      </c>
      <c r="AM2" t="s">
        <v>480</v>
      </c>
      <c r="CQ2" s="5"/>
      <c r="DA2" s="6"/>
    </row>
    <row r="3" spans="1:105" ht="18" customHeight="1">
      <c r="C3" t="s">
        <v>468</v>
      </c>
      <c r="AN3" t="s">
        <v>499</v>
      </c>
      <c r="BV3" t="s">
        <v>334</v>
      </c>
      <c r="CN3" s="20"/>
      <c r="CO3" s="20"/>
      <c r="CP3" s="20"/>
      <c r="CQ3" s="87"/>
      <c r="CR3" s="20"/>
      <c r="CS3" s="20"/>
      <c r="DA3" s="6"/>
    </row>
    <row r="4" spans="1:105" ht="18" customHeight="1">
      <c r="D4" t="s">
        <v>476</v>
      </c>
      <c r="AN4" t="s">
        <v>500</v>
      </c>
      <c r="BV4" s="245" t="s">
        <v>356</v>
      </c>
      <c r="BW4" s="245"/>
      <c r="BX4" s="15" t="s">
        <v>2</v>
      </c>
      <c r="BY4" s="32" t="s">
        <v>37</v>
      </c>
      <c r="BZ4" t="s">
        <v>50</v>
      </c>
      <c r="CA4" s="245" t="s">
        <v>357</v>
      </c>
      <c r="CB4" s="245"/>
      <c r="CC4" s="1" t="s">
        <v>44</v>
      </c>
      <c r="CD4" s="249" t="s">
        <v>246</v>
      </c>
      <c r="CE4" s="249"/>
      <c r="CQ4" s="5"/>
      <c r="CR4" s="20"/>
      <c r="CS4" s="20"/>
      <c r="DA4" s="6"/>
    </row>
    <row r="5" spans="1:105" ht="18" customHeight="1">
      <c r="E5" t="s">
        <v>478</v>
      </c>
      <c r="AN5" s="301" t="s">
        <v>192</v>
      </c>
      <c r="AO5" s="301"/>
      <c r="AP5" s="4" t="s">
        <v>345</v>
      </c>
      <c r="AQ5" s="247">
        <f>'3.照査'!BI21</f>
        <v>6.5699010647040952</v>
      </c>
      <c r="AR5" s="247"/>
      <c r="AS5" s="247"/>
      <c r="AT5" s="1" t="s">
        <v>3</v>
      </c>
      <c r="AX5" s="237" t="s">
        <v>170</v>
      </c>
      <c r="AY5" s="237"/>
      <c r="AZ5" s="4" t="s">
        <v>2</v>
      </c>
      <c r="BA5" s="207">
        <f>'3.照査'!CW12</f>
        <v>11.178530650763353</v>
      </c>
      <c r="BB5" s="207"/>
      <c r="BC5" s="207"/>
      <c r="BD5" s="20" t="s">
        <v>75</v>
      </c>
      <c r="BG5" s="35"/>
      <c r="BH5" s="36"/>
      <c r="BI5" s="36"/>
      <c r="BJ5" s="36"/>
      <c r="BK5" s="36"/>
      <c r="BL5" s="36"/>
      <c r="BM5" s="36"/>
      <c r="BN5" s="36"/>
      <c r="BO5" s="36"/>
      <c r="BP5" s="36"/>
      <c r="BQ5" s="41"/>
      <c r="BX5" s="15" t="s">
        <v>2</v>
      </c>
      <c r="BY5" s="247">
        <f>'1.設計条件'!T7</f>
        <v>1.1000000000000001</v>
      </c>
      <c r="BZ5" s="247"/>
      <c r="CA5" t="s">
        <v>50</v>
      </c>
      <c r="CB5" s="245" t="s">
        <v>357</v>
      </c>
      <c r="CC5" s="245"/>
      <c r="CD5" s="1" t="s">
        <v>44</v>
      </c>
      <c r="CE5" s="248">
        <f>'1.設計条件'!T13</f>
        <v>0.4</v>
      </c>
      <c r="CF5" s="248"/>
      <c r="CQ5" s="5"/>
      <c r="DA5" s="6"/>
    </row>
    <row r="6" spans="1:105" ht="19.2">
      <c r="D6" t="s">
        <v>477</v>
      </c>
      <c r="AN6" s="237" t="s">
        <v>179</v>
      </c>
      <c r="AO6" s="237"/>
      <c r="AP6" s="4" t="s">
        <v>345</v>
      </c>
      <c r="AQ6" s="252">
        <f>'3.照査'!BO34</f>
        <v>0.6</v>
      </c>
      <c r="AR6" s="252"/>
      <c r="AS6" s="252"/>
      <c r="AT6" s="53"/>
      <c r="AV6" s="4"/>
      <c r="AW6" s="100"/>
      <c r="AX6" s="237" t="s">
        <v>191</v>
      </c>
      <c r="AY6" s="237"/>
      <c r="AZ6" s="4" t="s">
        <v>2</v>
      </c>
      <c r="BA6" s="207">
        <f>'3.照査'!CQ23</f>
        <v>5.6715875123389079</v>
      </c>
      <c r="BB6" s="207"/>
      <c r="BC6" s="207"/>
      <c r="BD6" s="20" t="s">
        <v>34</v>
      </c>
      <c r="BE6" s="97"/>
      <c r="BF6" s="97"/>
      <c r="BG6" s="5"/>
      <c r="BQ6" s="6"/>
      <c r="CQ6" s="5"/>
      <c r="DA6" s="6"/>
    </row>
    <row r="7" spans="1:105">
      <c r="E7" t="s">
        <v>323</v>
      </c>
      <c r="AN7" s="301" t="s">
        <v>210</v>
      </c>
      <c r="AO7" s="301"/>
      <c r="AP7" s="4" t="s">
        <v>345</v>
      </c>
      <c r="AQ7" s="247">
        <f>AQ6*AQ5</f>
        <v>3.9419406388224569</v>
      </c>
      <c r="AR7" s="247"/>
      <c r="AS7" s="247"/>
      <c r="AT7" s="1" t="s">
        <v>3</v>
      </c>
      <c r="AV7" s="4"/>
      <c r="AW7" s="100"/>
      <c r="AX7" s="260" t="s">
        <v>463</v>
      </c>
      <c r="AY7" s="260"/>
      <c r="AZ7" s="4" t="s">
        <v>2</v>
      </c>
      <c r="BA7" s="233">
        <f>'3.照査'!BA23</f>
        <v>21.8</v>
      </c>
      <c r="BB7" s="233"/>
      <c r="BC7" s="233"/>
      <c r="BD7" s="20" t="s">
        <v>18</v>
      </c>
      <c r="BE7" s="97"/>
      <c r="BF7" s="97"/>
      <c r="BG7" s="5"/>
      <c r="BQ7" s="6"/>
      <c r="CQ7" s="5"/>
      <c r="DA7" s="6"/>
    </row>
    <row r="8" spans="1:105" ht="18" customHeight="1">
      <c r="E8" s="210" t="s">
        <v>322</v>
      </c>
      <c r="F8" s="210"/>
      <c r="G8" t="s">
        <v>2</v>
      </c>
      <c r="H8" s="207">
        <f>'2.土圧'!BM11</f>
        <v>48.43803337077113</v>
      </c>
      <c r="I8" s="207"/>
      <c r="J8" s="207"/>
      <c r="K8" s="20" t="s">
        <v>75</v>
      </c>
      <c r="AN8" s="99"/>
      <c r="AO8" s="99"/>
      <c r="AP8" s="4"/>
      <c r="AQ8" s="21"/>
      <c r="AR8" s="21"/>
      <c r="AT8" s="53"/>
      <c r="AV8" s="4"/>
      <c r="AW8" s="100"/>
      <c r="AX8" s="98"/>
      <c r="AZ8" s="97"/>
      <c r="BA8" s="97"/>
      <c r="BC8" s="4"/>
      <c r="BD8" s="97"/>
      <c r="BE8" s="97"/>
      <c r="BF8" s="97"/>
      <c r="BG8" s="5"/>
      <c r="BQ8" s="6"/>
      <c r="BV8" s="70" t="s">
        <v>364</v>
      </c>
      <c r="CQ8" s="5"/>
      <c r="DA8" s="6"/>
    </row>
    <row r="9" spans="1:105" ht="18" customHeight="1">
      <c r="E9" s="210" t="s">
        <v>321</v>
      </c>
      <c r="F9" s="210"/>
      <c r="G9" s="355" t="s">
        <v>2</v>
      </c>
      <c r="H9" s="352">
        <v>2</v>
      </c>
      <c r="I9" s="352"/>
      <c r="J9" s="76" t="s">
        <v>49</v>
      </c>
      <c r="K9" s="205" t="s">
        <v>322</v>
      </c>
      <c r="L9" s="205"/>
      <c r="N9" s="234" t="s">
        <v>2</v>
      </c>
      <c r="O9" s="352">
        <v>2</v>
      </c>
      <c r="P9" s="352"/>
      <c r="Q9" s="76" t="s">
        <v>49</v>
      </c>
      <c r="R9" s="238">
        <f>H8</f>
        <v>48.43803337077113</v>
      </c>
      <c r="S9" s="216"/>
      <c r="T9" s="216"/>
      <c r="V9" s="234" t="s">
        <v>2</v>
      </c>
      <c r="W9" s="207">
        <f>O9*R9/O10/R10^2</f>
        <v>0.13702607779677545</v>
      </c>
      <c r="X9" s="207"/>
      <c r="Y9" s="207"/>
      <c r="AN9" t="s">
        <v>481</v>
      </c>
      <c r="BG9" s="5"/>
      <c r="BQ9" s="6"/>
      <c r="BV9" s="245" t="s">
        <v>357</v>
      </c>
      <c r="BW9" s="245"/>
      <c r="BX9" s="258" t="s">
        <v>2</v>
      </c>
      <c r="BY9" s="79">
        <v>2</v>
      </c>
      <c r="BZ9" s="256" t="s">
        <v>191</v>
      </c>
      <c r="CA9" s="256"/>
      <c r="CB9" s="45" t="s">
        <v>342</v>
      </c>
      <c r="CC9" s="256" t="s">
        <v>340</v>
      </c>
      <c r="CD9" s="256"/>
      <c r="CE9" s="10"/>
      <c r="CF9" s="210" t="s">
        <v>349</v>
      </c>
      <c r="CG9" s="210"/>
      <c r="CH9" s="184" t="s">
        <v>44</v>
      </c>
      <c r="CI9" s="251" t="s">
        <v>347</v>
      </c>
      <c r="CJ9" s="251"/>
      <c r="CK9" s="260" t="s">
        <v>463</v>
      </c>
      <c r="CQ9" s="5"/>
      <c r="DA9" s="6"/>
    </row>
    <row r="10" spans="1:105" ht="18" customHeight="1">
      <c r="E10" s="210"/>
      <c r="F10" s="210"/>
      <c r="G10" s="355"/>
      <c r="H10" s="354" t="s">
        <v>17</v>
      </c>
      <c r="I10" s="354"/>
      <c r="J10" t="s">
        <v>49</v>
      </c>
      <c r="K10" s="210" t="s">
        <v>317</v>
      </c>
      <c r="L10" s="210"/>
      <c r="N10" s="234"/>
      <c r="O10" s="353">
        <f>'1.設計条件'!T26</f>
        <v>19</v>
      </c>
      <c r="P10" s="321"/>
      <c r="Q10" t="s">
        <v>49</v>
      </c>
      <c r="R10" s="178">
        <f>'1.設計条件'!T5</f>
        <v>6.1</v>
      </c>
      <c r="S10" s="178"/>
      <c r="T10" s="77" t="s">
        <v>318</v>
      </c>
      <c r="V10" s="234"/>
      <c r="W10" s="207"/>
      <c r="X10" s="207"/>
      <c r="Y10" s="207"/>
      <c r="AN10" s="210" t="s">
        <v>349</v>
      </c>
      <c r="AO10" s="210"/>
      <c r="AP10" s="234" t="s">
        <v>345</v>
      </c>
      <c r="AQ10" s="205" t="s">
        <v>350</v>
      </c>
      <c r="AR10" s="205"/>
      <c r="AS10" s="205"/>
      <c r="AU10" s="234" t="s">
        <v>345</v>
      </c>
      <c r="AV10" s="205" t="s">
        <v>350</v>
      </c>
      <c r="AW10" s="205"/>
      <c r="AX10" s="205"/>
      <c r="AY10" s="205"/>
      <c r="BA10" s="234" t="s">
        <v>345</v>
      </c>
      <c r="BB10" s="207">
        <f>1/COS(AX11*PI()/180)</f>
        <v>1.0770223637762204</v>
      </c>
      <c r="BC10" s="207"/>
      <c r="BD10" s="210" t="s">
        <v>350</v>
      </c>
      <c r="BG10" s="5"/>
      <c r="BQ10" s="6"/>
      <c r="BV10" s="245"/>
      <c r="BW10" s="245"/>
      <c r="BX10" s="258"/>
      <c r="BY10" s="13">
        <v>3</v>
      </c>
      <c r="BZ10" s="20" t="s">
        <v>343</v>
      </c>
      <c r="CA10" s="44" t="s">
        <v>191</v>
      </c>
      <c r="CB10" s="44" t="s">
        <v>342</v>
      </c>
      <c r="CC10" s="237" t="s">
        <v>340</v>
      </c>
      <c r="CD10" s="237"/>
      <c r="CE10" s="20" t="s">
        <v>344</v>
      </c>
      <c r="CF10" s="210"/>
      <c r="CG10" s="210"/>
      <c r="CH10" s="184"/>
      <c r="CI10" s="251"/>
      <c r="CJ10" s="251"/>
      <c r="CK10" s="260"/>
      <c r="CQ10" s="5"/>
      <c r="DA10" s="6"/>
    </row>
    <row r="11" spans="1:105" ht="18" customHeight="1">
      <c r="E11" t="s">
        <v>325</v>
      </c>
      <c r="AN11" s="210"/>
      <c r="AO11" s="210"/>
      <c r="AP11" s="234"/>
      <c r="AQ11" s="184" t="s">
        <v>347</v>
      </c>
      <c r="AR11" s="184"/>
      <c r="AS11" s="48" t="s">
        <v>463</v>
      </c>
      <c r="AU11" s="234"/>
      <c r="AV11" s="348" t="s">
        <v>347</v>
      </c>
      <c r="AW11" s="348"/>
      <c r="AX11" s="184">
        <f>-'2.土圧'!Q19</f>
        <v>21.8</v>
      </c>
      <c r="AY11" s="184"/>
      <c r="AZ11" s="13"/>
      <c r="BA11" s="234"/>
      <c r="BB11" s="207"/>
      <c r="BC11" s="207"/>
      <c r="BD11" s="210"/>
      <c r="BE11" s="22"/>
      <c r="BF11" s="81"/>
      <c r="BG11" s="106"/>
      <c r="BH11" s="81"/>
      <c r="BI11" s="107"/>
      <c r="BJ11" s="13"/>
      <c r="BQ11" s="6"/>
      <c r="BX11" s="258" t="s">
        <v>2</v>
      </c>
      <c r="BY11" s="79">
        <v>2</v>
      </c>
      <c r="BZ11" s="19" t="s">
        <v>44</v>
      </c>
      <c r="CA11" s="259">
        <f>BA6</f>
        <v>5.6715875123389079</v>
      </c>
      <c r="CB11" s="298"/>
      <c r="CC11" s="45" t="s">
        <v>342</v>
      </c>
      <c r="CD11" s="259">
        <f>AQ20</f>
        <v>5.6715875123389088</v>
      </c>
      <c r="CE11" s="298"/>
      <c r="CF11" s="10" t="s">
        <v>341</v>
      </c>
      <c r="CG11" s="259">
        <f>AT20</f>
        <v>1.4387805479569917</v>
      </c>
      <c r="CH11" s="298"/>
      <c r="CI11" s="69" t="s">
        <v>349</v>
      </c>
      <c r="CJ11" s="10"/>
      <c r="CK11" s="210" t="s">
        <v>349</v>
      </c>
      <c r="CL11" s="210"/>
      <c r="CM11" s="251" t="s">
        <v>347</v>
      </c>
      <c r="CN11" s="251"/>
      <c r="CO11" s="233">
        <f>AV31</f>
        <v>21.8</v>
      </c>
      <c r="CP11" s="184"/>
      <c r="CQ11" s="5"/>
      <c r="DA11" s="6"/>
    </row>
    <row r="12" spans="1:105" ht="18" customHeight="1">
      <c r="E12" s="210" t="s">
        <v>319</v>
      </c>
      <c r="F12" s="210"/>
      <c r="G12" t="s">
        <v>2</v>
      </c>
      <c r="H12" s="210" t="s">
        <v>321</v>
      </c>
      <c r="I12" s="210"/>
      <c r="J12" t="s">
        <v>49</v>
      </c>
      <c r="K12" s="231" t="s">
        <v>17</v>
      </c>
      <c r="L12" s="231"/>
      <c r="M12" t="s">
        <v>49</v>
      </c>
      <c r="N12" s="210" t="s">
        <v>320</v>
      </c>
      <c r="O12" s="210"/>
      <c r="Q12" t="s">
        <v>2</v>
      </c>
      <c r="R12" s="207">
        <f>W9</f>
        <v>0.13702607779677545</v>
      </c>
      <c r="S12" s="184"/>
      <c r="T12" s="1" t="s">
        <v>330</v>
      </c>
      <c r="U12" s="232">
        <f>'1.設計条件'!T26</f>
        <v>19</v>
      </c>
      <c r="V12" s="232"/>
      <c r="W12" s="1" t="s">
        <v>330</v>
      </c>
      <c r="X12" s="210" t="s">
        <v>320</v>
      </c>
      <c r="Y12" s="210"/>
      <c r="AA12" t="s">
        <v>2</v>
      </c>
      <c r="AB12" s="207">
        <f>R12*U12</f>
        <v>2.6034954781387336</v>
      </c>
      <c r="AC12" s="207"/>
      <c r="AD12" s="207"/>
      <c r="AE12" s="210" t="s">
        <v>320</v>
      </c>
      <c r="AF12" s="210"/>
      <c r="BG12" s="5"/>
      <c r="BQ12" s="6"/>
      <c r="BX12" s="258"/>
      <c r="BY12" s="13">
        <v>3</v>
      </c>
      <c r="BZ12" s="20" t="s">
        <v>343</v>
      </c>
      <c r="CA12" s="247">
        <f>BA6</f>
        <v>5.6715875123389079</v>
      </c>
      <c r="CB12" s="251"/>
      <c r="CC12" s="44" t="s">
        <v>342</v>
      </c>
      <c r="CD12" s="247">
        <f>AQ20</f>
        <v>5.6715875123389088</v>
      </c>
      <c r="CE12" s="251"/>
      <c r="CF12" t="s">
        <v>341</v>
      </c>
      <c r="CG12" s="247">
        <f>AT20</f>
        <v>1.4387805479569917</v>
      </c>
      <c r="CH12" s="251"/>
      <c r="CI12" s="2" t="s">
        <v>349</v>
      </c>
      <c r="CJ12" s="20" t="s">
        <v>344</v>
      </c>
      <c r="CK12" s="210"/>
      <c r="CL12" s="210"/>
      <c r="CM12" s="251"/>
      <c r="CN12" s="251"/>
      <c r="CO12" s="184"/>
      <c r="CP12" s="184"/>
      <c r="CQ12" s="5"/>
      <c r="DA12" s="6"/>
    </row>
    <row r="13" spans="1:105" ht="18" customHeight="1">
      <c r="AN13" s="44"/>
      <c r="AO13" s="44"/>
      <c r="AP13" s="44"/>
      <c r="AQ13" s="44"/>
      <c r="AR13" s="44"/>
      <c r="AT13" s="48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108"/>
      <c r="BH13" s="44"/>
      <c r="BI13" s="44"/>
      <c r="BJ13" s="44"/>
      <c r="BK13" s="44"/>
      <c r="BL13" s="44"/>
      <c r="BM13" s="44"/>
      <c r="BN13" s="44"/>
      <c r="BO13" s="44"/>
      <c r="BP13" s="44"/>
      <c r="BQ13" s="6"/>
      <c r="BX13" s="258" t="s">
        <v>2</v>
      </c>
      <c r="BY13" s="238">
        <f>BY11*CA11+CD11</f>
        <v>17.014762537016725</v>
      </c>
      <c r="BZ13" s="238"/>
      <c r="CA13" s="238"/>
      <c r="CB13" s="10" t="s">
        <v>341</v>
      </c>
      <c r="CC13" s="259">
        <f>CG11</f>
        <v>1.4387805479569917</v>
      </c>
      <c r="CD13" s="298"/>
      <c r="CE13" s="69" t="s">
        <v>349</v>
      </c>
      <c r="CF13" s="210" t="s">
        <v>349</v>
      </c>
      <c r="CG13" s="210"/>
      <c r="CH13" s="184" t="s">
        <v>44</v>
      </c>
      <c r="CI13" s="207">
        <f>COS(CO11*PI()/180)</f>
        <v>0.92848582688091352</v>
      </c>
      <c r="CJ13" s="207"/>
      <c r="CQ13" s="7"/>
      <c r="CR13" s="10"/>
      <c r="CS13" s="10"/>
      <c r="CT13" s="10"/>
      <c r="CU13" s="10"/>
      <c r="CV13" s="10"/>
      <c r="CW13" s="10"/>
      <c r="CX13" s="10"/>
      <c r="CY13" s="10"/>
      <c r="CZ13" s="10"/>
      <c r="DA13" s="8"/>
    </row>
    <row r="14" spans="1:105" ht="18" customHeight="1">
      <c r="E14" t="s">
        <v>331</v>
      </c>
      <c r="S14" s="35"/>
      <c r="T14" s="37"/>
      <c r="U14" s="37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41"/>
      <c r="AN14" t="s">
        <v>482</v>
      </c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108"/>
      <c r="BH14" s="44"/>
      <c r="BI14" s="44"/>
      <c r="BJ14" s="44"/>
      <c r="BK14" s="44"/>
      <c r="BL14" s="44"/>
      <c r="BM14" s="44"/>
      <c r="BN14" s="44"/>
      <c r="BO14" s="44"/>
      <c r="BP14" s="44"/>
      <c r="BQ14" s="6"/>
      <c r="BX14" s="258"/>
      <c r="BY14" s="207">
        <f>BY12*(CA12+CD12)</f>
        <v>34.029525074033444</v>
      </c>
      <c r="BZ14" s="207"/>
      <c r="CA14" s="207"/>
      <c r="CB14" t="s">
        <v>341</v>
      </c>
      <c r="CC14" s="247">
        <f>BY12*CG12</f>
        <v>4.3163416438709756</v>
      </c>
      <c r="CD14" s="251"/>
      <c r="CE14" s="2" t="s">
        <v>349</v>
      </c>
      <c r="CF14" s="210"/>
      <c r="CG14" s="210"/>
      <c r="CH14" s="184"/>
      <c r="CI14" s="207"/>
      <c r="CJ14" s="207"/>
    </row>
    <row r="15" spans="1:105">
      <c r="E15" s="210" t="s">
        <v>324</v>
      </c>
      <c r="F15" s="210"/>
      <c r="G15" s="355" t="s">
        <v>2</v>
      </c>
      <c r="H15" s="205" t="s">
        <v>319</v>
      </c>
      <c r="I15" s="205"/>
      <c r="J15" s="10" t="s">
        <v>49</v>
      </c>
      <c r="K15" s="205" t="s">
        <v>320</v>
      </c>
      <c r="L15" s="205"/>
      <c r="P15" s="1"/>
      <c r="S15" s="5"/>
      <c r="AH15" s="6"/>
      <c r="AN15" t="s">
        <v>483</v>
      </c>
      <c r="BG15" s="5"/>
      <c r="BQ15" s="6"/>
      <c r="BX15" s="258" t="s">
        <v>2</v>
      </c>
      <c r="BY15" s="238">
        <f>BY13*CI13</f>
        <v>15.797965863364364</v>
      </c>
      <c r="BZ15" s="238"/>
      <c r="CA15" s="238"/>
      <c r="CB15" s="10" t="s">
        <v>341</v>
      </c>
      <c r="CC15" s="259">
        <f>CC13*CI13</f>
        <v>1.3358873467700214</v>
      </c>
      <c r="CD15" s="298"/>
      <c r="CE15" s="69" t="s">
        <v>349</v>
      </c>
      <c r="CF15" s="210" t="s">
        <v>349</v>
      </c>
      <c r="CG15" s="210"/>
      <c r="CN15" s="35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41"/>
    </row>
    <row r="16" spans="1:105" ht="18" customHeight="1">
      <c r="E16" s="210"/>
      <c r="F16" s="210"/>
      <c r="G16" s="355"/>
      <c r="J16" s="1">
        <v>2</v>
      </c>
      <c r="S16" s="5"/>
      <c r="AH16" s="6"/>
      <c r="AN16" s="237" t="s">
        <v>340</v>
      </c>
      <c r="AO16" s="237"/>
      <c r="AP16" s="258" t="s">
        <v>2</v>
      </c>
      <c r="AQ16" s="256" t="s">
        <v>179</v>
      </c>
      <c r="AR16" s="256"/>
      <c r="AS16" s="10" t="s">
        <v>49</v>
      </c>
      <c r="AT16" s="80" t="s">
        <v>192</v>
      </c>
      <c r="AU16" s="10" t="s">
        <v>341</v>
      </c>
      <c r="AV16" s="69" t="s">
        <v>349</v>
      </c>
      <c r="AW16" s="237" t="s">
        <v>191</v>
      </c>
      <c r="AX16" s="237"/>
      <c r="BG16" s="5"/>
      <c r="BQ16" s="6"/>
      <c r="BX16" s="258"/>
      <c r="BY16" s="207">
        <f>BY14</f>
        <v>34.029525074033444</v>
      </c>
      <c r="BZ16" s="207"/>
      <c r="CA16" s="207"/>
      <c r="CB16" t="s">
        <v>341</v>
      </c>
      <c r="CC16" s="247">
        <f>CC14</f>
        <v>4.3163416438709756</v>
      </c>
      <c r="CD16" s="251"/>
      <c r="CE16" s="2" t="s">
        <v>349</v>
      </c>
      <c r="CF16" s="210"/>
      <c r="CG16" s="210"/>
      <c r="CN16" s="5"/>
      <c r="DA16" s="6"/>
    </row>
    <row r="17" spans="5:106" ht="18" customHeight="1">
      <c r="E17" s="14" t="s">
        <v>70</v>
      </c>
      <c r="S17" s="5"/>
      <c r="AH17" s="6"/>
      <c r="AN17" s="237"/>
      <c r="AO17" s="237"/>
      <c r="AP17" s="258"/>
      <c r="AR17" s="237" t="s">
        <v>179</v>
      </c>
      <c r="AS17" s="237"/>
      <c r="AT17" t="s">
        <v>49</v>
      </c>
      <c r="AU17" s="53" t="s">
        <v>192</v>
      </c>
      <c r="AW17" s="237"/>
      <c r="AX17" s="237"/>
      <c r="BG17" s="5"/>
      <c r="BI17" s="14"/>
      <c r="BJ17" s="34"/>
      <c r="BK17" s="34"/>
      <c r="BM17" s="34"/>
      <c r="BN17" s="34"/>
      <c r="BO17" s="2"/>
      <c r="BQ17" s="6"/>
      <c r="CN17" s="5"/>
      <c r="DA17" s="6"/>
    </row>
    <row r="18" spans="5:106" ht="18" customHeight="1">
      <c r="E18" s="245" t="s">
        <v>497</v>
      </c>
      <c r="F18" s="245"/>
      <c r="G18" s="15" t="s">
        <v>2</v>
      </c>
      <c r="H18" s="237" t="s">
        <v>324</v>
      </c>
      <c r="I18" s="237"/>
      <c r="J18" s="246" t="s">
        <v>79</v>
      </c>
      <c r="K18" s="246"/>
      <c r="L18" s="246"/>
      <c r="M18" s="246"/>
      <c r="S18" s="5"/>
      <c r="AH18" s="6"/>
      <c r="AP18" s="258" t="s">
        <v>2</v>
      </c>
      <c r="AQ18" s="351">
        <f>AQ6</f>
        <v>0.6</v>
      </c>
      <c r="AR18" s="298"/>
      <c r="AS18" s="10" t="s">
        <v>49</v>
      </c>
      <c r="AT18" s="259">
        <f>AQ5</f>
        <v>6.5699010647040952</v>
      </c>
      <c r="AU18" s="259"/>
      <c r="AV18" s="10" t="s">
        <v>341</v>
      </c>
      <c r="AW18" s="69" t="s">
        <v>349</v>
      </c>
      <c r="AX18" s="207">
        <f>BA6</f>
        <v>5.6715875123389079</v>
      </c>
      <c r="AY18" s="184"/>
      <c r="BG18" s="7"/>
      <c r="BH18" s="10"/>
      <c r="BI18" s="10"/>
      <c r="BJ18" s="10"/>
      <c r="BK18" s="10"/>
      <c r="BL18" s="10"/>
      <c r="BM18" s="10"/>
      <c r="BN18" s="10"/>
      <c r="BO18" s="10"/>
      <c r="BP18" s="10"/>
      <c r="BQ18" s="8"/>
      <c r="BV18" s="70" t="s">
        <v>363</v>
      </c>
      <c r="CN18" s="5"/>
      <c r="DA18" s="6"/>
    </row>
    <row r="19" spans="5:106" ht="18" customHeight="1">
      <c r="G19" s="15" t="s">
        <v>2</v>
      </c>
      <c r="H19" s="237" t="s">
        <v>324</v>
      </c>
      <c r="I19" s="237"/>
      <c r="J19" s="246" t="s">
        <v>72</v>
      </c>
      <c r="K19" s="246"/>
      <c r="L19" s="246"/>
      <c r="M19" s="248">
        <f>'2.土圧'!Q19</f>
        <v>-21.8</v>
      </c>
      <c r="N19" s="248"/>
      <c r="O19" s="15" t="s">
        <v>73</v>
      </c>
      <c r="P19" s="248">
        <f>'2.土圧'!O21</f>
        <v>23.333333333333332</v>
      </c>
      <c r="Q19" s="248"/>
      <c r="R19" s="14" t="s">
        <v>74</v>
      </c>
      <c r="S19" s="5"/>
      <c r="AH19" s="6"/>
      <c r="AP19" s="258"/>
      <c r="AR19" s="252">
        <f>AQ6</f>
        <v>0.6</v>
      </c>
      <c r="AS19" s="251"/>
      <c r="AT19" t="s">
        <v>49</v>
      </c>
      <c r="AU19" s="247">
        <f>AQ5</f>
        <v>6.5699010647040952</v>
      </c>
      <c r="AV19" s="247"/>
      <c r="AX19" s="184"/>
      <c r="AY19" s="184"/>
      <c r="BV19" s="245" t="s">
        <v>357</v>
      </c>
      <c r="BW19" s="245"/>
      <c r="BX19" s="258" t="s">
        <v>2</v>
      </c>
      <c r="BY19" s="210" t="s">
        <v>348</v>
      </c>
      <c r="BZ19" s="210"/>
      <c r="CA19" s="234" t="s">
        <v>341</v>
      </c>
      <c r="CB19" s="79">
        <v>1</v>
      </c>
      <c r="CC19" s="210" t="s">
        <v>349</v>
      </c>
      <c r="CD19" s="210"/>
      <c r="CE19" s="184" t="s">
        <v>44</v>
      </c>
      <c r="CF19" s="251" t="s">
        <v>347</v>
      </c>
      <c r="CG19" s="251"/>
      <c r="CH19" s="260" t="s">
        <v>463</v>
      </c>
      <c r="CN19" s="5"/>
      <c r="DA19" s="6"/>
    </row>
    <row r="20" spans="5:106" ht="18" customHeight="1">
      <c r="G20" s="15" t="s">
        <v>2</v>
      </c>
      <c r="H20" s="247">
        <f>COS((M19+P19)*PI()/180)</f>
        <v>0.99964192667130958</v>
      </c>
      <c r="I20" s="247"/>
      <c r="J20" s="237" t="s">
        <v>324</v>
      </c>
      <c r="K20" s="237"/>
      <c r="L20" s="20" t="s">
        <v>75</v>
      </c>
      <c r="S20" s="5"/>
      <c r="AH20" s="6"/>
      <c r="AP20" s="15" t="s">
        <v>2</v>
      </c>
      <c r="AQ20" s="207">
        <f>AQ18*AT18*AX18/AR19/AU19</f>
        <v>5.6715875123389088</v>
      </c>
      <c r="AR20" s="207"/>
      <c r="AS20" t="s">
        <v>341</v>
      </c>
      <c r="AT20" s="207">
        <f>AX18/AR19/AU19</f>
        <v>1.4387805479569917</v>
      </c>
      <c r="AU20" s="207"/>
      <c r="AV20" s="2" t="s">
        <v>349</v>
      </c>
      <c r="BV20" s="245"/>
      <c r="BW20" s="245"/>
      <c r="BX20" s="258"/>
      <c r="BY20" s="210"/>
      <c r="BZ20" s="210"/>
      <c r="CA20" s="234"/>
      <c r="CB20" s="13">
        <v>3</v>
      </c>
      <c r="CC20" s="210"/>
      <c r="CD20" s="210"/>
      <c r="CE20" s="184"/>
      <c r="CF20" s="251"/>
      <c r="CG20" s="251"/>
      <c r="CH20" s="260"/>
      <c r="CN20" s="5"/>
      <c r="DA20" s="6"/>
    </row>
    <row r="21" spans="5:106">
      <c r="E21" s="14" t="s">
        <v>76</v>
      </c>
      <c r="S21" s="5"/>
      <c r="AH21" s="6"/>
      <c r="BH21" s="15"/>
      <c r="BX21" s="258" t="s">
        <v>2</v>
      </c>
      <c r="BY21" s="210" t="s">
        <v>348</v>
      </c>
      <c r="BZ21" s="210"/>
      <c r="CA21" s="234" t="s">
        <v>341</v>
      </c>
      <c r="CB21" s="79">
        <v>1</v>
      </c>
      <c r="CC21" s="210" t="s">
        <v>349</v>
      </c>
      <c r="CD21" s="210"/>
      <c r="CE21" s="184" t="s">
        <v>44</v>
      </c>
      <c r="CF21" s="251" t="s">
        <v>347</v>
      </c>
      <c r="CG21" s="251"/>
      <c r="CH21" s="233">
        <f>CO11</f>
        <v>21.8</v>
      </c>
      <c r="CI21" s="184"/>
      <c r="CN21" s="5"/>
      <c r="DA21" s="6"/>
    </row>
    <row r="22" spans="5:106">
      <c r="E22" s="245" t="s">
        <v>498</v>
      </c>
      <c r="F22" s="245"/>
      <c r="G22" s="15" t="s">
        <v>2</v>
      </c>
      <c r="H22" s="237" t="s">
        <v>324</v>
      </c>
      <c r="I22" s="237"/>
      <c r="J22" s="246" t="s">
        <v>80</v>
      </c>
      <c r="K22" s="246"/>
      <c r="L22" s="246"/>
      <c r="M22" s="246"/>
      <c r="S22" s="5"/>
      <c r="AH22" s="6"/>
      <c r="AN22" t="s">
        <v>484</v>
      </c>
      <c r="BX22" s="258"/>
      <c r="BY22" s="210"/>
      <c r="BZ22" s="210"/>
      <c r="CA22" s="234"/>
      <c r="CB22" s="13">
        <v>3</v>
      </c>
      <c r="CC22" s="210"/>
      <c r="CD22" s="210"/>
      <c r="CE22" s="184"/>
      <c r="CF22" s="251"/>
      <c r="CG22" s="251"/>
      <c r="CH22" s="184"/>
      <c r="CI22" s="184"/>
      <c r="CN22" s="5"/>
      <c r="CZ22" s="64"/>
      <c r="DA22" s="88"/>
      <c r="DB22" s="64"/>
    </row>
    <row r="23" spans="5:106">
      <c r="G23" s="15" t="s">
        <v>2</v>
      </c>
      <c r="H23" s="237" t="s">
        <v>324</v>
      </c>
      <c r="I23" s="237"/>
      <c r="J23" s="246" t="s">
        <v>78</v>
      </c>
      <c r="K23" s="246"/>
      <c r="L23" s="246"/>
      <c r="M23" s="248">
        <f>M19</f>
        <v>-21.8</v>
      </c>
      <c r="N23" s="248"/>
      <c r="O23" s="15" t="s">
        <v>73</v>
      </c>
      <c r="P23" s="248">
        <f>P19</f>
        <v>23.333333333333332</v>
      </c>
      <c r="Q23" s="248"/>
      <c r="R23" s="14" t="s">
        <v>74</v>
      </c>
      <c r="S23" s="5"/>
      <c r="AH23" s="6"/>
      <c r="AN23" s="237" t="s">
        <v>352</v>
      </c>
      <c r="AO23" s="237"/>
      <c r="AP23" s="258" t="s">
        <v>2</v>
      </c>
      <c r="AQ23" s="19" t="s">
        <v>343</v>
      </c>
      <c r="AR23" s="256" t="s">
        <v>191</v>
      </c>
      <c r="AS23" s="256"/>
      <c r="AT23" s="19" t="s">
        <v>342</v>
      </c>
      <c r="AU23" s="256" t="s">
        <v>340</v>
      </c>
      <c r="AV23" s="256"/>
      <c r="AW23" s="19" t="s">
        <v>344</v>
      </c>
      <c r="AX23" s="19" t="s">
        <v>44</v>
      </c>
      <c r="AY23" s="69" t="s">
        <v>349</v>
      </c>
      <c r="BX23" s="258" t="s">
        <v>2</v>
      </c>
      <c r="BY23" s="210" t="s">
        <v>348</v>
      </c>
      <c r="BZ23" s="210"/>
      <c r="CA23" s="234" t="s">
        <v>341</v>
      </c>
      <c r="CB23" s="79">
        <v>1</v>
      </c>
      <c r="CC23" s="210" t="s">
        <v>349</v>
      </c>
      <c r="CD23" s="210"/>
      <c r="CE23" s="184" t="s">
        <v>44</v>
      </c>
      <c r="CF23" s="207">
        <f>COS(CH21*PI()/180)</f>
        <v>0.92848582688091352</v>
      </c>
      <c r="CG23" s="207"/>
      <c r="CN23" s="5"/>
      <c r="CZ23" s="64"/>
      <c r="DA23" s="88"/>
      <c r="DB23" s="64"/>
    </row>
    <row r="24" spans="5:106">
      <c r="G24" s="15" t="s">
        <v>2</v>
      </c>
      <c r="H24" s="247">
        <f>SIN((M23+P23)*PI()/180)</f>
        <v>2.6758520902174832E-2</v>
      </c>
      <c r="I24" s="247"/>
      <c r="J24" s="237" t="s">
        <v>324</v>
      </c>
      <c r="K24" s="237"/>
      <c r="L24" s="20" t="s">
        <v>75</v>
      </c>
      <c r="M24" s="3"/>
      <c r="S24" s="5"/>
      <c r="AH24" s="6"/>
      <c r="AN24" s="237"/>
      <c r="AO24" s="237"/>
      <c r="AP24" s="258"/>
      <c r="AQ24" s="44"/>
      <c r="AU24" s="49">
        <v>2</v>
      </c>
      <c r="BX24" s="258"/>
      <c r="BY24" s="210"/>
      <c r="BZ24" s="210"/>
      <c r="CA24" s="234"/>
      <c r="CB24" s="13">
        <v>3</v>
      </c>
      <c r="CC24" s="210"/>
      <c r="CD24" s="210"/>
      <c r="CE24" s="184"/>
      <c r="CF24" s="207"/>
      <c r="CG24" s="207"/>
      <c r="CN24" s="5"/>
      <c r="CZ24" s="64"/>
      <c r="DA24" s="88"/>
      <c r="DB24" s="64"/>
    </row>
    <row r="25" spans="5:106">
      <c r="F25" s="3"/>
      <c r="N25" s="3"/>
      <c r="O25" s="3"/>
      <c r="P25" s="3"/>
      <c r="S25" s="5"/>
      <c r="AH25" s="6"/>
      <c r="AP25" s="258" t="s">
        <v>2</v>
      </c>
      <c r="AQ25" s="19" t="s">
        <v>343</v>
      </c>
      <c r="AR25" s="259">
        <f>BA6</f>
        <v>5.6715875123389079</v>
      </c>
      <c r="AS25" s="298"/>
      <c r="AT25" s="19" t="s">
        <v>342</v>
      </c>
      <c r="AU25" s="259">
        <f>AQ20</f>
        <v>5.6715875123389088</v>
      </c>
      <c r="AV25" s="298"/>
      <c r="AW25" s="10" t="s">
        <v>341</v>
      </c>
      <c r="AX25" s="238">
        <f>AT20</f>
        <v>1.4387805479569917</v>
      </c>
      <c r="AY25" s="238"/>
      <c r="AZ25" s="69" t="s">
        <v>349</v>
      </c>
      <c r="BA25" s="19" t="s">
        <v>344</v>
      </c>
      <c r="BB25" s="19" t="s">
        <v>44</v>
      </c>
      <c r="BC25" s="69" t="s">
        <v>349</v>
      </c>
      <c r="BX25" s="4" t="s">
        <v>345</v>
      </c>
      <c r="BY25" s="210" t="s">
        <v>348</v>
      </c>
      <c r="BZ25" s="210"/>
      <c r="CA25" t="s">
        <v>341</v>
      </c>
      <c r="CB25" s="207">
        <f>CB23/CB24*CF23</f>
        <v>0.30949527562697116</v>
      </c>
      <c r="CC25" s="207"/>
      <c r="CD25" s="207"/>
      <c r="CE25" s="210" t="s">
        <v>349</v>
      </c>
      <c r="CF25" s="210"/>
      <c r="CN25" s="5"/>
      <c r="CZ25" s="64"/>
      <c r="DA25" s="88"/>
      <c r="DB25" s="64"/>
    </row>
    <row r="26" spans="5:106">
      <c r="E26" t="s">
        <v>334</v>
      </c>
      <c r="S26" s="5"/>
      <c r="AH26" s="6"/>
      <c r="AP26" s="258"/>
      <c r="AQ26" s="44"/>
      <c r="AU26" s="49">
        <v>2</v>
      </c>
      <c r="AX26" s="34"/>
      <c r="AY26" s="34"/>
      <c r="AZ26" s="1"/>
      <c r="CN26" s="5"/>
      <c r="CZ26" s="64"/>
      <c r="DA26" s="88"/>
      <c r="DB26" s="64"/>
    </row>
    <row r="27" spans="5:106">
      <c r="E27" s="245" t="s">
        <v>335</v>
      </c>
      <c r="F27" s="245"/>
      <c r="G27" s="15" t="s">
        <v>2</v>
      </c>
      <c r="H27" s="21" t="s">
        <v>333</v>
      </c>
      <c r="I27" s="14" t="s">
        <v>92</v>
      </c>
      <c r="J27" s="20">
        <v>3</v>
      </c>
      <c r="S27" s="7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8"/>
      <c r="AP27" s="4" t="s">
        <v>345</v>
      </c>
      <c r="AQ27" s="207">
        <f>(AR25+AU25)/AU26</f>
        <v>5.6715875123389079</v>
      </c>
      <c r="AR27" s="207"/>
      <c r="AS27" s="2" t="s">
        <v>349</v>
      </c>
      <c r="AT27" t="s">
        <v>341</v>
      </c>
      <c r="AU27" s="207">
        <f>AX25/AU26</f>
        <v>0.71939027397849586</v>
      </c>
      <c r="AV27" s="207"/>
      <c r="AW27" s="2" t="s">
        <v>349</v>
      </c>
      <c r="AX27" t="s">
        <v>346</v>
      </c>
      <c r="CN27" s="7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89"/>
      <c r="DA27" s="90"/>
      <c r="DB27" s="64"/>
    </row>
    <row r="28" spans="5:106">
      <c r="E28" s="245" t="s">
        <v>336</v>
      </c>
      <c r="F28" s="245"/>
      <c r="G28" s="15" t="s">
        <v>2</v>
      </c>
      <c r="H28" s="32" t="s">
        <v>37</v>
      </c>
      <c r="I28" t="s">
        <v>50</v>
      </c>
      <c r="J28" s="245" t="s">
        <v>335</v>
      </c>
      <c r="K28" s="245"/>
      <c r="L28" s="1" t="s">
        <v>330</v>
      </c>
      <c r="M28" s="249" t="s">
        <v>246</v>
      </c>
      <c r="N28" s="249"/>
      <c r="O28" s="15" t="s">
        <v>2</v>
      </c>
      <c r="P28" s="247">
        <f>'1.設計条件'!T7</f>
        <v>1.1000000000000001</v>
      </c>
      <c r="Q28" s="247"/>
      <c r="R28" t="s">
        <v>50</v>
      </c>
      <c r="S28" s="245" t="s">
        <v>335</v>
      </c>
      <c r="T28" s="245"/>
      <c r="U28" s="1" t="s">
        <v>330</v>
      </c>
      <c r="V28" s="248">
        <f>'1.設計条件'!T13</f>
        <v>0.4</v>
      </c>
      <c r="W28" s="248"/>
    </row>
    <row r="29" spans="5:106">
      <c r="AN29" t="s">
        <v>358</v>
      </c>
      <c r="BZ29" s="201" t="s">
        <v>252</v>
      </c>
      <c r="CA29" s="202"/>
      <c r="CB29" s="203"/>
      <c r="CC29" s="201"/>
      <c r="CD29" s="202"/>
      <c r="CE29" s="203"/>
      <c r="CF29" s="342"/>
      <c r="CG29" s="343"/>
      <c r="CH29" s="343"/>
      <c r="CI29" s="332" t="s">
        <v>365</v>
      </c>
      <c r="CJ29" s="333"/>
      <c r="CK29" s="334"/>
      <c r="CL29" s="342"/>
      <c r="CM29" s="343"/>
      <c r="CN29" s="344"/>
      <c r="CO29" s="342" t="s">
        <v>337</v>
      </c>
      <c r="CP29" s="343"/>
      <c r="CQ29" s="343"/>
      <c r="CR29" s="342" t="s">
        <v>338</v>
      </c>
      <c r="CS29" s="343"/>
      <c r="CT29" s="344"/>
      <c r="CU29" s="201" t="s">
        <v>334</v>
      </c>
      <c r="CV29" s="202"/>
      <c r="CW29" s="202"/>
      <c r="CX29" s="202"/>
      <c r="CY29" s="202"/>
      <c r="CZ29" s="203"/>
    </row>
    <row r="30" spans="5:106">
      <c r="H30" s="201" t="s">
        <v>326</v>
      </c>
      <c r="I30" s="202"/>
      <c r="J30" s="203"/>
      <c r="K30" s="201" t="s">
        <v>327</v>
      </c>
      <c r="L30" s="202"/>
      <c r="M30" s="203"/>
      <c r="N30" s="201" t="s">
        <v>329</v>
      </c>
      <c r="O30" s="202"/>
      <c r="P30" s="203"/>
      <c r="Q30" s="342" t="s">
        <v>337</v>
      </c>
      <c r="R30" s="343"/>
      <c r="S30" s="343"/>
      <c r="T30" s="342" t="s">
        <v>338</v>
      </c>
      <c r="U30" s="343"/>
      <c r="V30" s="344"/>
      <c r="W30" s="201" t="s">
        <v>334</v>
      </c>
      <c r="X30" s="202"/>
      <c r="Y30" s="202"/>
      <c r="Z30" s="202"/>
      <c r="AA30" s="202"/>
      <c r="AB30" s="203"/>
      <c r="AN30" s="245" t="s">
        <v>355</v>
      </c>
      <c r="AO30" s="245"/>
      <c r="AP30" s="15" t="s">
        <v>2</v>
      </c>
      <c r="AQ30" s="237" t="s">
        <v>352</v>
      </c>
      <c r="AR30" s="237"/>
      <c r="AS30" s="184" t="s">
        <v>347</v>
      </c>
      <c r="AT30" s="184"/>
      <c r="AU30" s="48" t="s">
        <v>463</v>
      </c>
      <c r="BZ30" s="213" t="s">
        <v>320</v>
      </c>
      <c r="CA30" s="210"/>
      <c r="CB30" s="214"/>
      <c r="CC30" s="213" t="s">
        <v>350</v>
      </c>
      <c r="CD30" s="210"/>
      <c r="CE30" s="214"/>
      <c r="CF30" s="349" t="s">
        <v>351</v>
      </c>
      <c r="CG30" s="245"/>
      <c r="CH30" s="350"/>
      <c r="CI30" s="5"/>
      <c r="CJ30" t="s">
        <v>362</v>
      </c>
      <c r="CK30" s="6"/>
      <c r="CL30" s="349" t="s">
        <v>353</v>
      </c>
      <c r="CM30" s="245"/>
      <c r="CN30" s="350"/>
      <c r="CO30" s="349" t="s">
        <v>354</v>
      </c>
      <c r="CP30" s="245"/>
      <c r="CQ30" s="350"/>
      <c r="CR30" s="349" t="s">
        <v>355</v>
      </c>
      <c r="CS30" s="245"/>
      <c r="CT30" s="350"/>
      <c r="CU30" s="345" t="s">
        <v>356</v>
      </c>
      <c r="CV30" s="346"/>
      <c r="CW30" s="347"/>
      <c r="CX30" s="345" t="s">
        <v>357</v>
      </c>
      <c r="CY30" s="346"/>
      <c r="CZ30" s="347"/>
    </row>
    <row r="31" spans="5:106">
      <c r="H31" s="213" t="s">
        <v>320</v>
      </c>
      <c r="I31" s="210"/>
      <c r="J31" s="214"/>
      <c r="K31" s="213" t="s">
        <v>319</v>
      </c>
      <c r="L31" s="210"/>
      <c r="M31" s="214"/>
      <c r="N31" s="213" t="s">
        <v>324</v>
      </c>
      <c r="O31" s="210"/>
      <c r="P31" s="214"/>
      <c r="Q31" s="349" t="s">
        <v>498</v>
      </c>
      <c r="R31" s="245"/>
      <c r="S31" s="350"/>
      <c r="T31" s="349" t="s">
        <v>497</v>
      </c>
      <c r="U31" s="245"/>
      <c r="V31" s="350"/>
      <c r="W31" s="345" t="s">
        <v>336</v>
      </c>
      <c r="X31" s="346"/>
      <c r="Y31" s="347"/>
      <c r="Z31" s="345" t="s">
        <v>339</v>
      </c>
      <c r="AA31" s="346"/>
      <c r="AB31" s="347"/>
      <c r="AP31" s="15" t="s">
        <v>2</v>
      </c>
      <c r="AQ31" s="237" t="s">
        <v>352</v>
      </c>
      <c r="AR31" s="237"/>
      <c r="AS31" s="251" t="s">
        <v>359</v>
      </c>
      <c r="AT31" s="251"/>
      <c r="AU31" s="251"/>
      <c r="AV31" s="248">
        <f>BA7</f>
        <v>21.8</v>
      </c>
      <c r="AW31" s="248"/>
      <c r="BW31" s="10"/>
      <c r="BX31" s="10"/>
      <c r="BY31" s="10"/>
      <c r="BZ31" s="215" t="s">
        <v>287</v>
      </c>
      <c r="CA31" s="216"/>
      <c r="CB31" s="217"/>
      <c r="CC31" s="215" t="s">
        <v>287</v>
      </c>
      <c r="CD31" s="216"/>
      <c r="CE31" s="217"/>
      <c r="CF31" s="215" t="s">
        <v>287</v>
      </c>
      <c r="CG31" s="216"/>
      <c r="CH31" s="217"/>
      <c r="CI31" s="335" t="s">
        <v>366</v>
      </c>
      <c r="CJ31" s="336"/>
      <c r="CK31" s="337"/>
      <c r="CL31" s="215" t="s">
        <v>103</v>
      </c>
      <c r="CM31" s="216"/>
      <c r="CN31" s="217"/>
      <c r="CO31" s="215" t="s">
        <v>103</v>
      </c>
      <c r="CP31" s="216"/>
      <c r="CQ31" s="217"/>
      <c r="CR31" s="215" t="s">
        <v>103</v>
      </c>
      <c r="CS31" s="216"/>
      <c r="CT31" s="217"/>
      <c r="CU31" s="215" t="s">
        <v>287</v>
      </c>
      <c r="CV31" s="216"/>
      <c r="CW31" s="217"/>
      <c r="CX31" s="215" t="s">
        <v>287</v>
      </c>
      <c r="CY31" s="216"/>
      <c r="CZ31" s="217"/>
    </row>
    <row r="32" spans="5:106">
      <c r="E32" s="10"/>
      <c r="F32" s="10"/>
      <c r="G32" s="10"/>
      <c r="H32" s="215" t="s">
        <v>287</v>
      </c>
      <c r="I32" s="216"/>
      <c r="J32" s="217"/>
      <c r="K32" s="215" t="s">
        <v>328</v>
      </c>
      <c r="L32" s="216"/>
      <c r="M32" s="217"/>
      <c r="N32" s="215" t="s">
        <v>103</v>
      </c>
      <c r="O32" s="216"/>
      <c r="P32" s="217"/>
      <c r="Q32" s="215" t="s">
        <v>103</v>
      </c>
      <c r="R32" s="216"/>
      <c r="S32" s="217"/>
      <c r="T32" s="215" t="s">
        <v>103</v>
      </c>
      <c r="U32" s="216"/>
      <c r="V32" s="217"/>
      <c r="W32" s="215" t="s">
        <v>287</v>
      </c>
      <c r="X32" s="216"/>
      <c r="Y32" s="217"/>
      <c r="Z32" s="215" t="s">
        <v>287</v>
      </c>
      <c r="AA32" s="216"/>
      <c r="AB32" s="217"/>
      <c r="AO32" s="14"/>
      <c r="AP32" s="15" t="s">
        <v>2</v>
      </c>
      <c r="AQ32" s="247">
        <f>COS((AV31)*PI()/180)</f>
        <v>0.92848582688091352</v>
      </c>
      <c r="AR32" s="247"/>
      <c r="AS32" s="237" t="s">
        <v>352</v>
      </c>
      <c r="AT32" s="237"/>
      <c r="AU32" s="20"/>
      <c r="BW32" s="73">
        <f>'2.自重'!BW29</f>
        <v>6</v>
      </c>
      <c r="BX32" s="264" t="str">
        <f>'2.自重'!BX29</f>
        <v>段目</v>
      </c>
      <c r="BY32" s="265"/>
      <c r="BZ32" s="328">
        <f t="shared" ref="BZ32:BZ37" si="0">H33</f>
        <v>0.79999999999999982</v>
      </c>
      <c r="CA32" s="184"/>
      <c r="CB32" s="329"/>
      <c r="CC32" s="328">
        <f t="shared" ref="CC32:CC37" si="1">IF(BW32&lt;&gt;"",IF(H33&lt;AQ$7/BB$10, H33, AQ$7/BB$10),"")</f>
        <v>0.79999999999999982</v>
      </c>
      <c r="CD32" s="184"/>
      <c r="CE32" s="329"/>
      <c r="CF32" s="328">
        <f t="shared" ref="CF32:CF37" si="2">IF(BW32&lt;&gt;"",IF(CC32*BB$10&lt;AQ$7,CC32*BB$10, AQ$7),"")</f>
        <v>0.86161789102097608</v>
      </c>
      <c r="CG32" s="184"/>
      <c r="CH32" s="184"/>
      <c r="CI32" s="338" t="str">
        <f t="shared" ref="CI32:CI37" si="3">IF(CF32="","",IF(CF32&lt;AQ$7,"zi'&lt;ℓ₂","zi'=ℓ₂"))</f>
        <v>zi'&lt;ℓ₂</v>
      </c>
      <c r="CJ32" s="234"/>
      <c r="CK32" s="339"/>
      <c r="CL32" s="207">
        <f t="shared" ref="CL32:CL37" si="4">IF(BW32&lt;&gt;"",AQ$27*CF32-AU$27*CF32^2,"")</f>
        <v>4.3526764419209458</v>
      </c>
      <c r="CM32" s="184"/>
      <c r="CN32" s="329"/>
      <c r="CO32" s="328">
        <f t="shared" ref="CO32:CO37" si="5">IF(BW32&lt;&gt;"",CL32*AQ$37,"")</f>
        <v>-1.6164440290866791</v>
      </c>
      <c r="CP32" s="184"/>
      <c r="CQ32" s="329"/>
      <c r="CR32" s="328">
        <f t="shared" ref="CR32:CR37" si="6">IF(BW32&lt;&gt;"",CL32*AQ$32,"")</f>
        <v>4.0413983853220419</v>
      </c>
      <c r="CS32" s="184"/>
      <c r="CT32" s="329"/>
      <c r="CU32" s="328">
        <f t="shared" ref="CU32:CU37" si="7">IF(BW32&lt;&gt;"",BY$5+CX32*CE$5,"")</f>
        <v>1.2665438949890881</v>
      </c>
      <c r="CV32" s="184"/>
      <c r="CW32" s="184"/>
      <c r="CX32" s="328">
        <f t="shared" ref="CX32:CX37" si="8">IF(BW32&lt;&gt;"",IF(CF32&lt;AQ$7,(BY$15-CC$15*CF32)/(BY$16-CC$16*CF32)*CF32,BZ32-CB$25*CF32),"")</f>
        <v>0.41635973747272031</v>
      </c>
      <c r="CY32" s="184"/>
      <c r="CZ32" s="329"/>
    </row>
    <row r="33" spans="5:105">
      <c r="E33" s="73">
        <f>'2.自重'!BW29</f>
        <v>6</v>
      </c>
      <c r="F33" s="264" t="str">
        <f>'2.自重'!BX29</f>
        <v>段目</v>
      </c>
      <c r="G33" s="265"/>
      <c r="H33" s="328">
        <f>IF(E33&lt;&gt;"",H$38-'1.設計条件'!BG$5*(E33-E$38),"")</f>
        <v>0.79999999999999982</v>
      </c>
      <c r="I33" s="184"/>
      <c r="J33" s="329"/>
      <c r="K33" s="328">
        <f t="shared" ref="K33:K38" si="9">IF(E33&lt;&gt;"",H33*AB$12,"")</f>
        <v>2.0827963825109865</v>
      </c>
      <c r="L33" s="207"/>
      <c r="M33" s="340"/>
      <c r="N33" s="328">
        <f t="shared" ref="N33:N37" si="10">IFERROR(H33*K33/2,"")</f>
        <v>0.83311855300439441</v>
      </c>
      <c r="O33" s="207"/>
      <c r="P33" s="340"/>
      <c r="Q33" s="328">
        <f t="shared" ref="Q33:Q38" si="11">IF(E33&lt;&gt;"",N33*H$24,"")</f>
        <v>2.229302021455774E-2</v>
      </c>
      <c r="R33" s="184"/>
      <c r="S33" s="329"/>
      <c r="T33" s="328">
        <f t="shared" ref="T33:T38" si="12">IF(E33&lt;&gt;"",N33*H$20,"")</f>
        <v>0.83282023547092643</v>
      </c>
      <c r="U33" s="184"/>
      <c r="V33" s="329"/>
      <c r="W33" s="328">
        <f t="shared" ref="W33:W38" si="13">IF(E33&lt;&gt;"",P$28+Z33*V$28,"")</f>
        <v>1.2066666666666668</v>
      </c>
      <c r="X33" s="184"/>
      <c r="Y33" s="329"/>
      <c r="Z33" s="328">
        <f t="shared" ref="Z33:Z38" si="14">IF(E33&lt;&gt;"",H33/J$27,"")</f>
        <v>0.26666666666666661</v>
      </c>
      <c r="AA33" s="184"/>
      <c r="AB33" s="329"/>
      <c r="BW33" s="73">
        <f>'2.自重'!BW30</f>
        <v>5</v>
      </c>
      <c r="BX33" s="264" t="str">
        <f>'2.自重'!BX30</f>
        <v>段目</v>
      </c>
      <c r="BY33" s="265"/>
      <c r="BZ33" s="328">
        <f t="shared" si="0"/>
        <v>1.7999999999999998</v>
      </c>
      <c r="CA33" s="184"/>
      <c r="CB33" s="329"/>
      <c r="CC33" s="328">
        <f t="shared" si="1"/>
        <v>1.7999999999999998</v>
      </c>
      <c r="CD33" s="184"/>
      <c r="CE33" s="329"/>
      <c r="CF33" s="328">
        <f t="shared" si="2"/>
        <v>1.9386402547971966</v>
      </c>
      <c r="CG33" s="184"/>
      <c r="CH33" s="184"/>
      <c r="CI33" s="338" t="str">
        <f t="shared" si="3"/>
        <v>zi'&lt;ℓ₂</v>
      </c>
      <c r="CJ33" s="234"/>
      <c r="CK33" s="339"/>
      <c r="CL33" s="207">
        <f t="shared" si="4"/>
        <v>8.2914646621931709</v>
      </c>
      <c r="CM33" s="184"/>
      <c r="CN33" s="329"/>
      <c r="CO33" s="328">
        <f t="shared" si="5"/>
        <v>-3.079183285139937</v>
      </c>
      <c r="CP33" s="184"/>
      <c r="CQ33" s="329"/>
      <c r="CR33" s="328">
        <f t="shared" si="6"/>
        <v>7.6985074229303008</v>
      </c>
      <c r="CS33" s="184"/>
      <c r="CT33" s="329"/>
      <c r="CU33" s="328">
        <f t="shared" si="7"/>
        <v>1.4991299242001519</v>
      </c>
      <c r="CV33" s="184"/>
      <c r="CW33" s="184"/>
      <c r="CX33" s="328">
        <f t="shared" si="8"/>
        <v>0.99782481050037963</v>
      </c>
      <c r="CY33" s="207"/>
      <c r="CZ33" s="340"/>
    </row>
    <row r="34" spans="5:105" ht="18" customHeight="1">
      <c r="E34" s="73">
        <f>'2.自重'!BW30</f>
        <v>5</v>
      </c>
      <c r="F34" s="264" t="str">
        <f>'2.自重'!BX30</f>
        <v>段目</v>
      </c>
      <c r="G34" s="265"/>
      <c r="H34" s="328">
        <f>IF(E34&lt;&gt;"",H$38-'1.設計条件'!BG$5*(E34-E$38),"")</f>
        <v>1.7999999999999998</v>
      </c>
      <c r="I34" s="184"/>
      <c r="J34" s="329"/>
      <c r="K34" s="328">
        <f t="shared" si="9"/>
        <v>4.6862918606497201</v>
      </c>
      <c r="L34" s="207"/>
      <c r="M34" s="340"/>
      <c r="N34" s="328">
        <f t="shared" si="10"/>
        <v>4.2176626745847479</v>
      </c>
      <c r="O34" s="207"/>
      <c r="P34" s="340"/>
      <c r="Q34" s="328">
        <f t="shared" si="11"/>
        <v>0.11285841483619859</v>
      </c>
      <c r="R34" s="184"/>
      <c r="S34" s="329"/>
      <c r="T34" s="328">
        <f t="shared" si="12"/>
        <v>4.2161524420715661</v>
      </c>
      <c r="U34" s="184"/>
      <c r="V34" s="329"/>
      <c r="W34" s="328">
        <f t="shared" si="13"/>
        <v>1.34</v>
      </c>
      <c r="X34" s="184"/>
      <c r="Y34" s="329"/>
      <c r="Z34" s="328">
        <f t="shared" si="14"/>
        <v>0.6</v>
      </c>
      <c r="AA34" s="184"/>
      <c r="AB34" s="329"/>
      <c r="AN34" s="14" t="s">
        <v>76</v>
      </c>
      <c r="BW34" s="73">
        <f>'2.自重'!BW31</f>
        <v>4</v>
      </c>
      <c r="BX34" s="264" t="str">
        <f>'2.自重'!BX31</f>
        <v>段目</v>
      </c>
      <c r="BY34" s="265"/>
      <c r="BZ34" s="328">
        <f t="shared" si="0"/>
        <v>2.8</v>
      </c>
      <c r="CA34" s="207"/>
      <c r="CB34" s="340"/>
      <c r="CC34" s="328">
        <f t="shared" si="1"/>
        <v>2.8</v>
      </c>
      <c r="CD34" s="184"/>
      <c r="CE34" s="329"/>
      <c r="CF34" s="328">
        <f t="shared" si="2"/>
        <v>3.0156626185734168</v>
      </c>
      <c r="CG34" s="184"/>
      <c r="CH34" s="184"/>
      <c r="CI34" s="338" t="str">
        <f t="shared" si="3"/>
        <v>zi'&lt;ℓ₂</v>
      </c>
      <c r="CJ34" s="234"/>
      <c r="CK34" s="339"/>
      <c r="CL34" s="207">
        <f t="shared" si="4"/>
        <v>10.561300291210994</v>
      </c>
      <c r="CM34" s="184"/>
      <c r="CN34" s="329"/>
      <c r="CO34" s="328">
        <f t="shared" si="5"/>
        <v>-3.9221272297430918</v>
      </c>
      <c r="CP34" s="184"/>
      <c r="CQ34" s="329"/>
      <c r="CR34" s="328">
        <f t="shared" si="6"/>
        <v>9.8060176338226732</v>
      </c>
      <c r="CS34" s="184"/>
      <c r="CT34" s="329"/>
      <c r="CU34" s="328">
        <f t="shared" si="7"/>
        <v>1.7756323756640253</v>
      </c>
      <c r="CV34" s="184"/>
      <c r="CW34" s="184"/>
      <c r="CX34" s="328">
        <f t="shared" si="8"/>
        <v>1.689080939160063</v>
      </c>
      <c r="CY34" s="207"/>
      <c r="CZ34" s="340"/>
    </row>
    <row r="35" spans="5:105" ht="18" customHeight="1">
      <c r="E35" s="73">
        <f>'2.自重'!BW31</f>
        <v>4</v>
      </c>
      <c r="F35" s="264" t="str">
        <f>'2.自重'!BX31</f>
        <v>段目</v>
      </c>
      <c r="G35" s="265"/>
      <c r="H35" s="328">
        <f>IF(E35&lt;&gt;"",H$38-'1.設計条件'!BG$5*(E35-E$38),"")</f>
        <v>2.8</v>
      </c>
      <c r="I35" s="184"/>
      <c r="J35" s="329"/>
      <c r="K35" s="328">
        <f t="shared" si="9"/>
        <v>7.2897873387884538</v>
      </c>
      <c r="L35" s="207"/>
      <c r="M35" s="340"/>
      <c r="N35" s="328">
        <f t="shared" si="10"/>
        <v>10.205702274303835</v>
      </c>
      <c r="O35" s="207"/>
      <c r="P35" s="340"/>
      <c r="Q35" s="328">
        <f t="shared" si="11"/>
        <v>0.2730894976283324</v>
      </c>
      <c r="R35" s="184"/>
      <c r="S35" s="329"/>
      <c r="T35" s="328">
        <f t="shared" si="12"/>
        <v>10.202047884518851</v>
      </c>
      <c r="U35" s="184"/>
      <c r="V35" s="329"/>
      <c r="W35" s="328">
        <f t="shared" si="13"/>
        <v>1.4733333333333334</v>
      </c>
      <c r="X35" s="184"/>
      <c r="Y35" s="329"/>
      <c r="Z35" s="328">
        <f t="shared" si="14"/>
        <v>0.93333333333333324</v>
      </c>
      <c r="AA35" s="184"/>
      <c r="AB35" s="329"/>
      <c r="AN35" s="245" t="s">
        <v>354</v>
      </c>
      <c r="AO35" s="245"/>
      <c r="AP35" s="15" t="s">
        <v>2</v>
      </c>
      <c r="AQ35" s="341" t="s">
        <v>501</v>
      </c>
      <c r="AR35" s="237"/>
      <c r="AS35" s="184" t="s">
        <v>360</v>
      </c>
      <c r="AT35" s="184"/>
      <c r="AU35" s="48" t="s">
        <v>463</v>
      </c>
      <c r="BW35" s="73">
        <f>'2.自重'!BW32</f>
        <v>3</v>
      </c>
      <c r="BX35" s="264" t="str">
        <f>'2.自重'!BX32</f>
        <v>段目</v>
      </c>
      <c r="BY35" s="265"/>
      <c r="BZ35" s="328">
        <f t="shared" si="0"/>
        <v>3.8</v>
      </c>
      <c r="CA35" s="207"/>
      <c r="CB35" s="340"/>
      <c r="CC35" s="328">
        <f t="shared" si="1"/>
        <v>3.6600360135525452</v>
      </c>
      <c r="CD35" s="184"/>
      <c r="CE35" s="329"/>
      <c r="CF35" s="328">
        <f t="shared" si="2"/>
        <v>3.9419406388224569</v>
      </c>
      <c r="CG35" s="184"/>
      <c r="CH35" s="184"/>
      <c r="CI35" s="338" t="str">
        <f t="shared" si="3"/>
        <v>zi'=ℓ₂</v>
      </c>
      <c r="CJ35" s="234"/>
      <c r="CK35" s="339"/>
      <c r="CL35" s="207">
        <f t="shared" si="4"/>
        <v>11.178530650763353</v>
      </c>
      <c r="CM35" s="184"/>
      <c r="CN35" s="329"/>
      <c r="CO35" s="328">
        <f t="shared" si="5"/>
        <v>-4.1513467324059441</v>
      </c>
      <c r="CP35" s="184"/>
      <c r="CQ35" s="329"/>
      <c r="CR35" s="328">
        <f t="shared" si="6"/>
        <v>10.379107274587648</v>
      </c>
      <c r="CS35" s="184"/>
      <c r="CT35" s="329"/>
      <c r="CU35" s="328">
        <f t="shared" si="7"/>
        <v>2.1319951981929943</v>
      </c>
      <c r="CV35" s="184"/>
      <c r="CW35" s="184"/>
      <c r="CX35" s="328">
        <f t="shared" si="8"/>
        <v>2.5799879954824849</v>
      </c>
      <c r="CY35" s="207"/>
      <c r="CZ35" s="340"/>
    </row>
    <row r="36" spans="5:105" ht="18" customHeight="1">
      <c r="E36" s="73">
        <f>'2.自重'!BW32</f>
        <v>3</v>
      </c>
      <c r="F36" s="264" t="str">
        <f>'2.自重'!BX32</f>
        <v>段目</v>
      </c>
      <c r="G36" s="265"/>
      <c r="H36" s="328">
        <f>IF(E36&lt;&gt;"",H$38-'1.設計条件'!BG$5*(E36-E$38),"")</f>
        <v>3.8</v>
      </c>
      <c r="I36" s="184"/>
      <c r="J36" s="329"/>
      <c r="K36" s="328">
        <f t="shared" si="9"/>
        <v>9.8932828169271865</v>
      </c>
      <c r="L36" s="207"/>
      <c r="M36" s="340"/>
      <c r="N36" s="328">
        <f t="shared" si="10"/>
        <v>18.797237352161652</v>
      </c>
      <c r="O36" s="207"/>
      <c r="P36" s="340"/>
      <c r="Q36" s="328">
        <f t="shared" si="11"/>
        <v>0.50298626859095907</v>
      </c>
      <c r="R36" s="184"/>
      <c r="S36" s="329"/>
      <c r="T36" s="328">
        <f t="shared" si="12"/>
        <v>18.79050656281278</v>
      </c>
      <c r="U36" s="184"/>
      <c r="V36" s="329"/>
      <c r="W36" s="328">
        <f t="shared" si="13"/>
        <v>1.6066666666666669</v>
      </c>
      <c r="X36" s="184"/>
      <c r="Y36" s="329"/>
      <c r="Z36" s="328">
        <f t="shared" si="14"/>
        <v>1.2666666666666666</v>
      </c>
      <c r="AA36" s="184"/>
      <c r="AB36" s="329"/>
      <c r="AP36" s="15" t="s">
        <v>2</v>
      </c>
      <c r="AQ36" s="341" t="s">
        <v>501</v>
      </c>
      <c r="AR36" s="237"/>
      <c r="AS36" s="251" t="s">
        <v>361</v>
      </c>
      <c r="AT36" s="251"/>
      <c r="AU36" s="251"/>
      <c r="AV36" s="248">
        <f>AV31</f>
        <v>21.8</v>
      </c>
      <c r="AW36" s="248"/>
      <c r="BW36" s="73">
        <f>'2.自重'!BW33</f>
        <v>2</v>
      </c>
      <c r="BX36" s="264" t="str">
        <f>'2.自重'!BX33</f>
        <v>段目</v>
      </c>
      <c r="BY36" s="265"/>
      <c r="BZ36" s="328">
        <f t="shared" si="0"/>
        <v>4.8</v>
      </c>
      <c r="CA36" s="207"/>
      <c r="CB36" s="340"/>
      <c r="CC36" s="328">
        <f t="shared" si="1"/>
        <v>3.6600360135525452</v>
      </c>
      <c r="CD36" s="184"/>
      <c r="CE36" s="329"/>
      <c r="CF36" s="328">
        <f t="shared" si="2"/>
        <v>3.9419406388224569</v>
      </c>
      <c r="CG36" s="184"/>
      <c r="CH36" s="184"/>
      <c r="CI36" s="338" t="str">
        <f t="shared" si="3"/>
        <v>zi'=ℓ₂</v>
      </c>
      <c r="CJ36" s="234"/>
      <c r="CK36" s="339"/>
      <c r="CL36" s="207">
        <f t="shared" si="4"/>
        <v>11.178530650763353</v>
      </c>
      <c r="CM36" s="184"/>
      <c r="CN36" s="329"/>
      <c r="CO36" s="328">
        <f t="shared" si="5"/>
        <v>-4.1513467324059441</v>
      </c>
      <c r="CP36" s="184"/>
      <c r="CQ36" s="329"/>
      <c r="CR36" s="328">
        <f t="shared" si="6"/>
        <v>10.379107274587648</v>
      </c>
      <c r="CS36" s="184"/>
      <c r="CT36" s="329"/>
      <c r="CU36" s="328">
        <f t="shared" si="7"/>
        <v>2.5319951981929942</v>
      </c>
      <c r="CV36" s="184"/>
      <c r="CW36" s="184"/>
      <c r="CX36" s="328">
        <f t="shared" si="8"/>
        <v>3.5799879954824849</v>
      </c>
      <c r="CY36" s="207"/>
      <c r="CZ36" s="340"/>
    </row>
    <row r="37" spans="5:105" ht="18" customHeight="1">
      <c r="E37" s="73">
        <f>'2.自重'!BW33</f>
        <v>2</v>
      </c>
      <c r="F37" s="264" t="str">
        <f>'2.自重'!BX33</f>
        <v>段目</v>
      </c>
      <c r="G37" s="265"/>
      <c r="H37" s="328">
        <f>IF(E37&lt;&gt;"",H$38-'1.設計条件'!BG$5*(E37-E$38),"")</f>
        <v>4.8</v>
      </c>
      <c r="I37" s="184"/>
      <c r="J37" s="329"/>
      <c r="K37" s="328">
        <f t="shared" si="9"/>
        <v>12.496778295065921</v>
      </c>
      <c r="L37" s="207"/>
      <c r="M37" s="340"/>
      <c r="N37" s="328">
        <f t="shared" si="10"/>
        <v>29.992267908158208</v>
      </c>
      <c r="O37" s="207"/>
      <c r="P37" s="340"/>
      <c r="Q37" s="328">
        <f t="shared" si="11"/>
        <v>0.80254872772407881</v>
      </c>
      <c r="R37" s="184"/>
      <c r="S37" s="329"/>
      <c r="T37" s="328">
        <f t="shared" si="12"/>
        <v>29.981528476953358</v>
      </c>
      <c r="U37" s="184"/>
      <c r="V37" s="329"/>
      <c r="W37" s="328">
        <f t="shared" si="13"/>
        <v>1.7400000000000002</v>
      </c>
      <c r="X37" s="184"/>
      <c r="Y37" s="329"/>
      <c r="Z37" s="328">
        <f t="shared" si="14"/>
        <v>1.5999999999999999</v>
      </c>
      <c r="AA37" s="184"/>
      <c r="AB37" s="329"/>
      <c r="AP37" s="15" t="s">
        <v>2</v>
      </c>
      <c r="AQ37" s="247">
        <f>-SIN((AV36)*PI()/180)</f>
        <v>-0.37136783555023484</v>
      </c>
      <c r="AR37" s="247"/>
      <c r="AS37" s="237" t="s">
        <v>352</v>
      </c>
      <c r="AT37" s="237"/>
      <c r="BW37" s="78">
        <f>'2.自重'!BW34</f>
        <v>1</v>
      </c>
      <c r="BX37" s="267" t="str">
        <f>'2.自重'!BX34</f>
        <v>段目</v>
      </c>
      <c r="BY37" s="268"/>
      <c r="BZ37" s="327">
        <f t="shared" si="0"/>
        <v>5.8</v>
      </c>
      <c r="CA37" s="216"/>
      <c r="CB37" s="217"/>
      <c r="CC37" s="327">
        <f t="shared" si="1"/>
        <v>3.6600360135525452</v>
      </c>
      <c r="CD37" s="216"/>
      <c r="CE37" s="217"/>
      <c r="CF37" s="327">
        <f t="shared" si="2"/>
        <v>3.9419406388224569</v>
      </c>
      <c r="CG37" s="216"/>
      <c r="CH37" s="216"/>
      <c r="CI37" s="330" t="str">
        <f t="shared" si="3"/>
        <v>zi'=ℓ₂</v>
      </c>
      <c r="CJ37" s="292"/>
      <c r="CK37" s="331"/>
      <c r="CL37" s="238">
        <f t="shared" si="4"/>
        <v>11.178530650763353</v>
      </c>
      <c r="CM37" s="216"/>
      <c r="CN37" s="217"/>
      <c r="CO37" s="327">
        <f t="shared" si="5"/>
        <v>-4.1513467324059441</v>
      </c>
      <c r="CP37" s="216"/>
      <c r="CQ37" s="217"/>
      <c r="CR37" s="327">
        <f t="shared" si="6"/>
        <v>10.379107274587648</v>
      </c>
      <c r="CS37" s="216"/>
      <c r="CT37" s="217"/>
      <c r="CU37" s="327">
        <f t="shared" si="7"/>
        <v>2.9319951981929941</v>
      </c>
      <c r="CV37" s="216"/>
      <c r="CW37" s="216"/>
      <c r="CX37" s="327">
        <f t="shared" si="8"/>
        <v>4.5799879954824849</v>
      </c>
      <c r="CY37" s="216"/>
      <c r="CZ37" s="217"/>
    </row>
    <row r="38" spans="5:105" ht="18" customHeight="1">
      <c r="E38" s="78">
        <f>'2.自重'!BW34</f>
        <v>1</v>
      </c>
      <c r="F38" s="267" t="str">
        <f>'2.自重'!BX34</f>
        <v>段目</v>
      </c>
      <c r="G38" s="268"/>
      <c r="H38" s="327">
        <f>'1.設計条件'!T6</f>
        <v>5.8</v>
      </c>
      <c r="I38" s="216"/>
      <c r="J38" s="217"/>
      <c r="K38" s="327">
        <f t="shared" si="9"/>
        <v>15.100273773204654</v>
      </c>
      <c r="L38" s="238"/>
      <c r="M38" s="356"/>
      <c r="N38" s="327">
        <f t="shared" ref="N38" si="15">IFERROR(H38*K38/2,"")</f>
        <v>43.790793942293497</v>
      </c>
      <c r="O38" s="238"/>
      <c r="P38" s="356"/>
      <c r="Q38" s="327">
        <f t="shared" si="11"/>
        <v>1.1717768750276916</v>
      </c>
      <c r="R38" s="216"/>
      <c r="S38" s="217"/>
      <c r="T38" s="327">
        <f t="shared" si="12"/>
        <v>43.775113626940581</v>
      </c>
      <c r="U38" s="216"/>
      <c r="V38" s="217"/>
      <c r="W38" s="327">
        <f t="shared" si="13"/>
        <v>1.8733333333333335</v>
      </c>
      <c r="X38" s="216"/>
      <c r="Y38" s="217"/>
      <c r="Z38" s="327">
        <f t="shared" si="14"/>
        <v>1.9333333333333333</v>
      </c>
      <c r="AA38" s="216"/>
      <c r="AB38" s="217"/>
      <c r="AI38">
        <v>10</v>
      </c>
      <c r="BR38">
        <v>11</v>
      </c>
      <c r="DA38">
        <v>12</v>
      </c>
    </row>
  </sheetData>
  <sheetProtection sheet="1" objects="1" scenarios="1"/>
  <mergeCells count="331">
    <mergeCell ref="Z37:AB37"/>
    <mergeCell ref="Z38:AB38"/>
    <mergeCell ref="Z31:AB31"/>
    <mergeCell ref="Z32:AB32"/>
    <mergeCell ref="Z33:AB33"/>
    <mergeCell ref="W34:Y34"/>
    <mergeCell ref="W35:Y35"/>
    <mergeCell ref="W36:Y36"/>
    <mergeCell ref="W37:Y37"/>
    <mergeCell ref="W38:Y38"/>
    <mergeCell ref="W31:Y31"/>
    <mergeCell ref="W32:Y32"/>
    <mergeCell ref="W33:Y33"/>
    <mergeCell ref="E27:F27"/>
    <mergeCell ref="E28:F28"/>
    <mergeCell ref="J23:L23"/>
    <mergeCell ref="W30:AB30"/>
    <mergeCell ref="Z34:AB34"/>
    <mergeCell ref="Z35:AB35"/>
    <mergeCell ref="Z36:AB36"/>
    <mergeCell ref="Q38:S38"/>
    <mergeCell ref="T38:V38"/>
    <mergeCell ref="Q30:S30"/>
    <mergeCell ref="T30:V30"/>
    <mergeCell ref="T31:V31"/>
    <mergeCell ref="Q31:S31"/>
    <mergeCell ref="Q32:S32"/>
    <mergeCell ref="T32:V32"/>
    <mergeCell ref="Q33:S33"/>
    <mergeCell ref="T33:V33"/>
    <mergeCell ref="Q34:S34"/>
    <mergeCell ref="T34:V34"/>
    <mergeCell ref="Q35:S35"/>
    <mergeCell ref="T35:V35"/>
    <mergeCell ref="Q36:S36"/>
    <mergeCell ref="T36:V36"/>
    <mergeCell ref="Q37:S37"/>
    <mergeCell ref="J28:K28"/>
    <mergeCell ref="M28:N28"/>
    <mergeCell ref="M19:N19"/>
    <mergeCell ref="P19:Q19"/>
    <mergeCell ref="H20:I20"/>
    <mergeCell ref="P28:Q28"/>
    <mergeCell ref="S28:T28"/>
    <mergeCell ref="V28:W28"/>
    <mergeCell ref="K34:M34"/>
    <mergeCell ref="N34:P34"/>
    <mergeCell ref="K30:M30"/>
    <mergeCell ref="K31:M31"/>
    <mergeCell ref="K32:M32"/>
    <mergeCell ref="N30:P30"/>
    <mergeCell ref="J20:K20"/>
    <mergeCell ref="H23:I23"/>
    <mergeCell ref="J24:K24"/>
    <mergeCell ref="M23:N23"/>
    <mergeCell ref="P23:Q23"/>
    <mergeCell ref="H24:I24"/>
    <mergeCell ref="H22:I22"/>
    <mergeCell ref="J22:M22"/>
    <mergeCell ref="AB12:AD12"/>
    <mergeCell ref="AE12:AF12"/>
    <mergeCell ref="H33:J33"/>
    <mergeCell ref="H34:J34"/>
    <mergeCell ref="H35:J35"/>
    <mergeCell ref="F36:G36"/>
    <mergeCell ref="F37:G37"/>
    <mergeCell ref="N31:P31"/>
    <mergeCell ref="N32:P32"/>
    <mergeCell ref="H31:J31"/>
    <mergeCell ref="H30:J30"/>
    <mergeCell ref="H32:J32"/>
    <mergeCell ref="N12:O12"/>
    <mergeCell ref="E15:F16"/>
    <mergeCell ref="G15:G16"/>
    <mergeCell ref="H15:I15"/>
    <mergeCell ref="K15:L15"/>
    <mergeCell ref="E22:F22"/>
    <mergeCell ref="H19:I19"/>
    <mergeCell ref="E18:F18"/>
    <mergeCell ref="H18:I18"/>
    <mergeCell ref="J18:M18"/>
    <mergeCell ref="J19:L19"/>
    <mergeCell ref="T37:V37"/>
    <mergeCell ref="F38:G38"/>
    <mergeCell ref="H36:J36"/>
    <mergeCell ref="H37:J37"/>
    <mergeCell ref="H38:J38"/>
    <mergeCell ref="F33:G33"/>
    <mergeCell ref="F34:G34"/>
    <mergeCell ref="F35:G35"/>
    <mergeCell ref="K37:M37"/>
    <mergeCell ref="N37:P37"/>
    <mergeCell ref="K38:M38"/>
    <mergeCell ref="N38:P38"/>
    <mergeCell ref="K35:M35"/>
    <mergeCell ref="N35:P35"/>
    <mergeCell ref="K36:M36"/>
    <mergeCell ref="N36:P36"/>
    <mergeCell ref="K33:M33"/>
    <mergeCell ref="N33:P33"/>
    <mergeCell ref="E8:F8"/>
    <mergeCell ref="H8:J8"/>
    <mergeCell ref="E9:F10"/>
    <mergeCell ref="K9:L9"/>
    <mergeCell ref="H9:I9"/>
    <mergeCell ref="H10:I10"/>
    <mergeCell ref="G9:G10"/>
    <mergeCell ref="K10:L10"/>
    <mergeCell ref="E12:F12"/>
    <mergeCell ref="H12:I12"/>
    <mergeCell ref="K12:L12"/>
    <mergeCell ref="V9:V10"/>
    <mergeCell ref="W9:Y10"/>
    <mergeCell ref="N9:N10"/>
    <mergeCell ref="O9:P9"/>
    <mergeCell ref="R10:S10"/>
    <mergeCell ref="O10:P10"/>
    <mergeCell ref="R9:T9"/>
    <mergeCell ref="X12:Y12"/>
    <mergeCell ref="R12:S12"/>
    <mergeCell ref="U12:V12"/>
    <mergeCell ref="AP25:AP26"/>
    <mergeCell ref="AR25:AS25"/>
    <mergeCell ref="AU25:AV25"/>
    <mergeCell ref="AX25:AY25"/>
    <mergeCell ref="AN16:AO17"/>
    <mergeCell ref="AP16:AP17"/>
    <mergeCell ref="AR17:AS17"/>
    <mergeCell ref="AQ16:AR16"/>
    <mergeCell ref="AW16:AX17"/>
    <mergeCell ref="AP18:AP19"/>
    <mergeCell ref="AN23:AO24"/>
    <mergeCell ref="AP23:AP24"/>
    <mergeCell ref="AR23:AS23"/>
    <mergeCell ref="AU23:AV23"/>
    <mergeCell ref="AQ18:AR18"/>
    <mergeCell ref="AT18:AU18"/>
    <mergeCell ref="AR19:AS19"/>
    <mergeCell ref="AU19:AV19"/>
    <mergeCell ref="AX18:AY19"/>
    <mergeCell ref="AQ20:AR20"/>
    <mergeCell ref="AT20:AU20"/>
    <mergeCell ref="CO31:CQ31"/>
    <mergeCell ref="CR31:CT31"/>
    <mergeCell ref="CC29:CE29"/>
    <mergeCell ref="CF29:CH29"/>
    <mergeCell ref="CL29:CN29"/>
    <mergeCell ref="CC30:CE30"/>
    <mergeCell ref="CF30:CH30"/>
    <mergeCell ref="CL30:CN30"/>
    <mergeCell ref="CO30:CQ30"/>
    <mergeCell ref="CR30:CT30"/>
    <mergeCell ref="CC31:CE31"/>
    <mergeCell ref="CF31:CH31"/>
    <mergeCell ref="CL31:CN31"/>
    <mergeCell ref="CL36:CN36"/>
    <mergeCell ref="CO36:CQ36"/>
    <mergeCell ref="CR36:CT36"/>
    <mergeCell ref="CI35:CK35"/>
    <mergeCell ref="CI36:CK36"/>
    <mergeCell ref="BX33:BY33"/>
    <mergeCell ref="CC33:CE33"/>
    <mergeCell ref="CF33:CH33"/>
    <mergeCell ref="CL33:CN33"/>
    <mergeCell ref="CO33:CQ33"/>
    <mergeCell ref="CR33:CT33"/>
    <mergeCell ref="BX34:BY34"/>
    <mergeCell ref="CC34:CE34"/>
    <mergeCell ref="CF34:CH34"/>
    <mergeCell ref="CL34:CN34"/>
    <mergeCell ref="CO34:CQ34"/>
    <mergeCell ref="CR34:CT34"/>
    <mergeCell ref="CX32:CZ32"/>
    <mergeCell ref="CU33:CW33"/>
    <mergeCell ref="CX33:CZ33"/>
    <mergeCell ref="CU34:CW34"/>
    <mergeCell ref="CX34:CZ34"/>
    <mergeCell ref="CU35:CW35"/>
    <mergeCell ref="BX35:BY35"/>
    <mergeCell ref="CC35:CE35"/>
    <mergeCell ref="CF35:CH35"/>
    <mergeCell ref="CL35:CN35"/>
    <mergeCell ref="CO35:CQ35"/>
    <mergeCell ref="CR35:CT35"/>
    <mergeCell ref="BX32:BY32"/>
    <mergeCell ref="CC32:CE32"/>
    <mergeCell ref="CF32:CH32"/>
    <mergeCell ref="CL32:CN32"/>
    <mergeCell ref="CO32:CQ32"/>
    <mergeCell ref="CR32:CT32"/>
    <mergeCell ref="CX35:CZ35"/>
    <mergeCell ref="BZ35:CB35"/>
    <mergeCell ref="BV4:BW4"/>
    <mergeCell ref="CA4:CB4"/>
    <mergeCell ref="CD4:CE4"/>
    <mergeCell ref="BY5:BZ5"/>
    <mergeCell ref="CB5:CC5"/>
    <mergeCell ref="CE5:CF5"/>
    <mergeCell ref="CO11:CP12"/>
    <mergeCell ref="BX13:BX14"/>
    <mergeCell ref="AN6:AO6"/>
    <mergeCell ref="AQ7:AS7"/>
    <mergeCell ref="AQ10:AS10"/>
    <mergeCell ref="AU10:AU11"/>
    <mergeCell ref="AV10:AY10"/>
    <mergeCell ref="BA10:BA11"/>
    <mergeCell ref="BB10:BC11"/>
    <mergeCell ref="BD10:BD11"/>
    <mergeCell ref="BY13:CA13"/>
    <mergeCell ref="CC13:CD13"/>
    <mergeCell ref="BY14:CA14"/>
    <mergeCell ref="AQ11:AR11"/>
    <mergeCell ref="AV11:AW11"/>
    <mergeCell ref="AX11:AY11"/>
    <mergeCell ref="AN7:AO7"/>
    <mergeCell ref="CM11:CN12"/>
    <mergeCell ref="CU36:CW36"/>
    <mergeCell ref="CX36:CZ36"/>
    <mergeCell ref="CU37:CW37"/>
    <mergeCell ref="CX37:CZ37"/>
    <mergeCell ref="CO29:CQ29"/>
    <mergeCell ref="CR29:CT29"/>
    <mergeCell ref="AN30:AO30"/>
    <mergeCell ref="AQ30:AR30"/>
    <mergeCell ref="AQ31:AR31"/>
    <mergeCell ref="AS31:AU31"/>
    <mergeCell ref="AV31:AW31"/>
    <mergeCell ref="BX37:BY37"/>
    <mergeCell ref="CC37:CE37"/>
    <mergeCell ref="CF37:CH37"/>
    <mergeCell ref="CL37:CN37"/>
    <mergeCell ref="CO37:CQ37"/>
    <mergeCell ref="CR37:CT37"/>
    <mergeCell ref="CU29:CZ29"/>
    <mergeCell ref="CU30:CW30"/>
    <mergeCell ref="CX30:CZ30"/>
    <mergeCell ref="CU31:CW31"/>
    <mergeCell ref="CX31:CZ31"/>
    <mergeCell ref="CU32:CW32"/>
    <mergeCell ref="BZ36:CB36"/>
    <mergeCell ref="AQ32:AR32"/>
    <mergeCell ref="AS32:AT32"/>
    <mergeCell ref="AN35:AO35"/>
    <mergeCell ref="AQ35:AR35"/>
    <mergeCell ref="AQ36:AR36"/>
    <mergeCell ref="AS36:AU36"/>
    <mergeCell ref="AV36:AW36"/>
    <mergeCell ref="AQ37:AR37"/>
    <mergeCell ref="AS37:AT37"/>
    <mergeCell ref="AN10:AO11"/>
    <mergeCell ref="AP10:AP11"/>
    <mergeCell ref="CC14:CD14"/>
    <mergeCell ref="CH13:CH14"/>
    <mergeCell ref="CI13:CJ14"/>
    <mergeCell ref="BX15:BX16"/>
    <mergeCell ref="BY15:CA15"/>
    <mergeCell ref="CC15:CD15"/>
    <mergeCell ref="BY16:CA16"/>
    <mergeCell ref="CC16:CD16"/>
    <mergeCell ref="AQ27:AR27"/>
    <mergeCell ref="BX21:BX22"/>
    <mergeCell ref="AS30:AT30"/>
    <mergeCell ref="AS35:AT35"/>
    <mergeCell ref="BV9:BW10"/>
    <mergeCell ref="BX9:BX10"/>
    <mergeCell ref="CC9:CD9"/>
    <mergeCell ref="CC10:CD10"/>
    <mergeCell ref="BZ9:CA9"/>
    <mergeCell ref="BX11:BX12"/>
    <mergeCell ref="CA11:CB11"/>
    <mergeCell ref="CD11:CE11"/>
    <mergeCell ref="CA12:CB12"/>
    <mergeCell ref="CD12:CE12"/>
    <mergeCell ref="AU27:AV27"/>
    <mergeCell ref="CC19:CD20"/>
    <mergeCell ref="CE19:CE20"/>
    <mergeCell ref="BY21:BZ22"/>
    <mergeCell ref="CA21:CA22"/>
    <mergeCell ref="CC21:CD22"/>
    <mergeCell ref="CE21:CE22"/>
    <mergeCell ref="BZ32:CB32"/>
    <mergeCell ref="BZ33:CB33"/>
    <mergeCell ref="BZ34:CB34"/>
    <mergeCell ref="CK11:CL12"/>
    <mergeCell ref="CF13:CG14"/>
    <mergeCell ref="CF15:CG16"/>
    <mergeCell ref="CI9:CJ10"/>
    <mergeCell ref="CK9:CK10"/>
    <mergeCell ref="CG11:CH11"/>
    <mergeCell ref="CG12:CH12"/>
    <mergeCell ref="BV19:BW20"/>
    <mergeCell ref="BX19:BX20"/>
    <mergeCell ref="CF19:CG20"/>
    <mergeCell ref="CH19:CH20"/>
    <mergeCell ref="BY19:BZ20"/>
    <mergeCell ref="CA19:CA20"/>
    <mergeCell ref="CH9:CH10"/>
    <mergeCell ref="CF9:CG10"/>
    <mergeCell ref="BZ37:CB37"/>
    <mergeCell ref="BX36:BY36"/>
    <mergeCell ref="CC36:CE36"/>
    <mergeCell ref="CF36:CH36"/>
    <mergeCell ref="CF21:CG22"/>
    <mergeCell ref="CH21:CI22"/>
    <mergeCell ref="BX23:BX24"/>
    <mergeCell ref="BY23:BZ24"/>
    <mergeCell ref="CA23:CA24"/>
    <mergeCell ref="CC23:CD24"/>
    <mergeCell ref="CE23:CE24"/>
    <mergeCell ref="CF23:CG24"/>
    <mergeCell ref="CI37:CK37"/>
    <mergeCell ref="CI29:CK29"/>
    <mergeCell ref="CI31:CK31"/>
    <mergeCell ref="BY25:BZ25"/>
    <mergeCell ref="CB25:CD25"/>
    <mergeCell ref="CE25:CF25"/>
    <mergeCell ref="CI32:CK32"/>
    <mergeCell ref="CI33:CK33"/>
    <mergeCell ref="CI34:CK34"/>
    <mergeCell ref="BZ29:CB29"/>
    <mergeCell ref="BZ30:CB30"/>
    <mergeCell ref="BZ31:CB31"/>
    <mergeCell ref="AN5:AO5"/>
    <mergeCell ref="AQ6:AS6"/>
    <mergeCell ref="AQ5:AS5"/>
    <mergeCell ref="AX5:AY5"/>
    <mergeCell ref="BA5:BC5"/>
    <mergeCell ref="AX6:AY6"/>
    <mergeCell ref="BA6:BC6"/>
    <mergeCell ref="AX7:AY7"/>
    <mergeCell ref="BA7:BC7"/>
  </mergeCells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981CB-53E6-4D13-9459-9E27CE536C7B}">
  <dimension ref="C2:HB38"/>
  <sheetViews>
    <sheetView showGridLines="0" view="pageBreakPreview" zoomScale="70" zoomScaleNormal="70" zoomScaleSheetLayoutView="70" workbookViewId="0">
      <selection activeCell="A2" sqref="A2"/>
    </sheetView>
  </sheetViews>
  <sheetFormatPr defaultRowHeight="18"/>
  <cols>
    <col min="1" max="210" width="3" customWidth="1"/>
  </cols>
  <sheetData>
    <row r="2" spans="3:198">
      <c r="C2" t="s">
        <v>469</v>
      </c>
    </row>
    <row r="3" spans="3:198">
      <c r="D3" t="s">
        <v>470</v>
      </c>
      <c r="AM3" t="s">
        <v>471</v>
      </c>
      <c r="BV3" t="s">
        <v>472</v>
      </c>
      <c r="DE3" t="s">
        <v>473</v>
      </c>
      <c r="EN3" t="s">
        <v>474</v>
      </c>
      <c r="FW3" t="s">
        <v>475</v>
      </c>
    </row>
    <row r="4" spans="3:198">
      <c r="E4" t="s">
        <v>334</v>
      </c>
      <c r="AN4" t="s">
        <v>334</v>
      </c>
      <c r="BW4" t="s">
        <v>334</v>
      </c>
      <c r="DF4" t="s">
        <v>334</v>
      </c>
      <c r="EO4" t="s">
        <v>371</v>
      </c>
      <c r="FX4" t="s">
        <v>334</v>
      </c>
    </row>
    <row r="6" spans="3:198">
      <c r="I6" s="121" t="s">
        <v>289</v>
      </c>
      <c r="J6" s="122"/>
      <c r="K6" s="123"/>
      <c r="L6" s="201" t="s">
        <v>285</v>
      </c>
      <c r="M6" s="202"/>
      <c r="N6" s="202"/>
      <c r="O6" s="202"/>
      <c r="P6" s="202"/>
      <c r="Q6" s="202"/>
      <c r="R6" s="202"/>
      <c r="S6" s="202"/>
      <c r="T6" s="203"/>
      <c r="U6" s="201" t="s">
        <v>310</v>
      </c>
      <c r="V6" s="202"/>
      <c r="W6" s="203"/>
      <c r="AR6" s="121" t="s">
        <v>289</v>
      </c>
      <c r="AS6" s="122"/>
      <c r="AT6" s="123"/>
      <c r="AU6" s="201" t="s">
        <v>285</v>
      </c>
      <c r="AV6" s="202"/>
      <c r="AW6" s="202"/>
      <c r="AX6" s="202"/>
      <c r="AY6" s="202"/>
      <c r="AZ6" s="202"/>
      <c r="BA6" s="202"/>
      <c r="BB6" s="202"/>
      <c r="BC6" s="203"/>
      <c r="BD6" s="201" t="s">
        <v>310</v>
      </c>
      <c r="BE6" s="202"/>
      <c r="BF6" s="203"/>
      <c r="CA6" s="121" t="s">
        <v>289</v>
      </c>
      <c r="CB6" s="122"/>
      <c r="CC6" s="123"/>
      <c r="CD6" s="201" t="s">
        <v>285</v>
      </c>
      <c r="CE6" s="202"/>
      <c r="CF6" s="202"/>
      <c r="CG6" s="202"/>
      <c r="CH6" s="202"/>
      <c r="CI6" s="202"/>
      <c r="CJ6" s="202"/>
      <c r="CK6" s="202"/>
      <c r="CL6" s="203"/>
      <c r="CM6" s="201" t="s">
        <v>310</v>
      </c>
      <c r="CN6" s="202"/>
      <c r="CO6" s="203"/>
      <c r="DJ6" s="121" t="s">
        <v>289</v>
      </c>
      <c r="DK6" s="122"/>
      <c r="DL6" s="123"/>
      <c r="DM6" s="201" t="s">
        <v>285</v>
      </c>
      <c r="DN6" s="202"/>
      <c r="DO6" s="202"/>
      <c r="DP6" s="202"/>
      <c r="DQ6" s="202"/>
      <c r="DR6" s="202"/>
      <c r="DS6" s="202"/>
      <c r="DT6" s="202"/>
      <c r="DU6" s="203"/>
      <c r="DV6" s="201" t="s">
        <v>310</v>
      </c>
      <c r="DW6" s="202"/>
      <c r="DX6" s="203"/>
      <c r="ES6" s="121" t="s">
        <v>289</v>
      </c>
      <c r="ET6" s="122"/>
      <c r="EU6" s="123"/>
      <c r="EV6" s="201" t="s">
        <v>285</v>
      </c>
      <c r="EW6" s="202"/>
      <c r="EX6" s="202"/>
      <c r="EY6" s="202"/>
      <c r="EZ6" s="202"/>
      <c r="FA6" s="202"/>
      <c r="FB6" s="202"/>
      <c r="FC6" s="202"/>
      <c r="FD6" s="203"/>
      <c r="FE6" s="201" t="s">
        <v>310</v>
      </c>
      <c r="FF6" s="202"/>
      <c r="FG6" s="203"/>
      <c r="GB6" s="121" t="s">
        <v>289</v>
      </c>
      <c r="GC6" s="122"/>
      <c r="GD6" s="123"/>
      <c r="GE6" s="201" t="s">
        <v>285</v>
      </c>
      <c r="GF6" s="202"/>
      <c r="GG6" s="202"/>
      <c r="GH6" s="202"/>
      <c r="GI6" s="202"/>
      <c r="GJ6" s="202"/>
      <c r="GK6" s="202"/>
      <c r="GL6" s="202"/>
      <c r="GM6" s="203"/>
      <c r="GN6" s="201" t="s">
        <v>310</v>
      </c>
      <c r="GO6" s="202"/>
      <c r="GP6" s="203"/>
    </row>
    <row r="7" spans="3:198">
      <c r="I7" s="213" t="s">
        <v>286</v>
      </c>
      <c r="J7" s="210"/>
      <c r="K7" s="214"/>
      <c r="L7" s="201" t="s">
        <v>277</v>
      </c>
      <c r="M7" s="202"/>
      <c r="N7" s="203"/>
      <c r="O7" s="198" t="s">
        <v>276</v>
      </c>
      <c r="P7" s="199"/>
      <c r="Q7" s="200"/>
      <c r="R7" s="201" t="s">
        <v>275</v>
      </c>
      <c r="S7" s="202"/>
      <c r="T7" s="203"/>
      <c r="U7" s="204" t="s">
        <v>311</v>
      </c>
      <c r="V7" s="205"/>
      <c r="W7" s="206"/>
      <c r="AR7" s="213" t="s">
        <v>286</v>
      </c>
      <c r="AS7" s="210"/>
      <c r="AT7" s="214"/>
      <c r="AU7" s="201" t="s">
        <v>277</v>
      </c>
      <c r="AV7" s="202"/>
      <c r="AW7" s="203"/>
      <c r="AX7" s="198" t="s">
        <v>276</v>
      </c>
      <c r="AY7" s="199"/>
      <c r="AZ7" s="200"/>
      <c r="BA7" s="201" t="s">
        <v>275</v>
      </c>
      <c r="BB7" s="202"/>
      <c r="BC7" s="203"/>
      <c r="BD7" s="204" t="s">
        <v>311</v>
      </c>
      <c r="BE7" s="205"/>
      <c r="BF7" s="206"/>
      <c r="CA7" s="213" t="s">
        <v>286</v>
      </c>
      <c r="CB7" s="210"/>
      <c r="CC7" s="214"/>
      <c r="CD7" s="201" t="s">
        <v>277</v>
      </c>
      <c r="CE7" s="202"/>
      <c r="CF7" s="203"/>
      <c r="CG7" s="198" t="s">
        <v>276</v>
      </c>
      <c r="CH7" s="199"/>
      <c r="CI7" s="200"/>
      <c r="CJ7" s="201" t="s">
        <v>275</v>
      </c>
      <c r="CK7" s="202"/>
      <c r="CL7" s="203"/>
      <c r="CM7" s="204" t="s">
        <v>311</v>
      </c>
      <c r="CN7" s="205"/>
      <c r="CO7" s="206"/>
      <c r="DJ7" s="213" t="s">
        <v>286</v>
      </c>
      <c r="DK7" s="210"/>
      <c r="DL7" s="214"/>
      <c r="DM7" s="201" t="s">
        <v>277</v>
      </c>
      <c r="DN7" s="202"/>
      <c r="DO7" s="203"/>
      <c r="DP7" s="198" t="s">
        <v>276</v>
      </c>
      <c r="DQ7" s="199"/>
      <c r="DR7" s="200"/>
      <c r="DS7" s="201" t="s">
        <v>275</v>
      </c>
      <c r="DT7" s="202"/>
      <c r="DU7" s="203"/>
      <c r="DV7" s="204" t="s">
        <v>311</v>
      </c>
      <c r="DW7" s="205"/>
      <c r="DX7" s="206"/>
      <c r="ES7" s="213" t="s">
        <v>286</v>
      </c>
      <c r="ET7" s="210"/>
      <c r="EU7" s="214"/>
      <c r="EV7" s="201" t="s">
        <v>277</v>
      </c>
      <c r="EW7" s="202"/>
      <c r="EX7" s="203"/>
      <c r="EY7" s="198" t="s">
        <v>276</v>
      </c>
      <c r="EZ7" s="199"/>
      <c r="FA7" s="200"/>
      <c r="FB7" s="201" t="s">
        <v>275</v>
      </c>
      <c r="FC7" s="202"/>
      <c r="FD7" s="203"/>
      <c r="FE7" s="204" t="s">
        <v>311</v>
      </c>
      <c r="FF7" s="205"/>
      <c r="FG7" s="206"/>
      <c r="GB7" s="213" t="s">
        <v>286</v>
      </c>
      <c r="GC7" s="210"/>
      <c r="GD7" s="214"/>
      <c r="GE7" s="201" t="s">
        <v>277</v>
      </c>
      <c r="GF7" s="202"/>
      <c r="GG7" s="203"/>
      <c r="GH7" s="198" t="s">
        <v>276</v>
      </c>
      <c r="GI7" s="199"/>
      <c r="GJ7" s="200"/>
      <c r="GK7" s="201" t="s">
        <v>275</v>
      </c>
      <c r="GL7" s="202"/>
      <c r="GM7" s="203"/>
      <c r="GN7" s="204" t="s">
        <v>311</v>
      </c>
      <c r="GO7" s="205"/>
      <c r="GP7" s="206"/>
    </row>
    <row r="8" spans="3:198">
      <c r="E8" s="68">
        <v>6</v>
      </c>
      <c r="F8" s="54">
        <f>'2.自重'!$BW29</f>
        <v>6</v>
      </c>
      <c r="G8" s="218" t="str">
        <f t="shared" ref="G8" si="0">IF(F8&lt;&gt;"","段目","")</f>
        <v>段目</v>
      </c>
      <c r="H8" s="219"/>
      <c r="I8" s="180">
        <f>IF(F8&lt;&gt;"",'2.自重'!$BO$9*(E8-6),"")</f>
        <v>0</v>
      </c>
      <c r="J8" s="181"/>
      <c r="K8" s="182"/>
      <c r="L8" s="180"/>
      <c r="M8" s="181"/>
      <c r="N8" s="182"/>
      <c r="O8" s="180" t="str">
        <f>IF(('1.設計条件'!$BG$6+1)&gt;E8, '2.自重'!$CN$18, "")</f>
        <v/>
      </c>
      <c r="P8" s="181"/>
      <c r="Q8" s="182"/>
      <c r="R8" s="180">
        <f>IF(('1.設計条件'!$BG$6+1)=E8, '2.自重'!$CN$17, "")</f>
        <v>0.71000000000000008</v>
      </c>
      <c r="S8" s="181"/>
      <c r="T8" s="182"/>
      <c r="U8" s="196">
        <f>IF(SUM(I8:T8)=0,"",SUM(I8:T8))</f>
        <v>0.71000000000000008</v>
      </c>
      <c r="V8" s="197"/>
      <c r="W8" s="197"/>
      <c r="AN8" s="68">
        <v>6</v>
      </c>
      <c r="AO8" s="54">
        <f>'2.自重'!$BW29</f>
        <v>6</v>
      </c>
      <c r="AP8" s="218" t="str">
        <f t="shared" ref="AP8:AP9" si="1">IF(AO8&lt;&gt;"","段目","")</f>
        <v>段目</v>
      </c>
      <c r="AQ8" s="219"/>
      <c r="AR8" s="180">
        <f>IF(AO8&lt;&gt;"",'2.自重'!$BO$9*(AN8-5),"")</f>
        <v>0.4</v>
      </c>
      <c r="AS8" s="181"/>
      <c r="AT8" s="182"/>
      <c r="AU8" s="180"/>
      <c r="AV8" s="181"/>
      <c r="AW8" s="182"/>
      <c r="AX8" s="180" t="str">
        <f>IF(('1.設計条件'!$BG$6+1)&gt;AN8, '2.自重'!$CN$18, "")</f>
        <v/>
      </c>
      <c r="AY8" s="181"/>
      <c r="AZ8" s="182"/>
      <c r="BA8" s="180">
        <f>IF(('1.設計条件'!$BG$6+1)=AN8, '2.自重'!$CN$17, "")</f>
        <v>0.71000000000000008</v>
      </c>
      <c r="BB8" s="181"/>
      <c r="BC8" s="182"/>
      <c r="BD8" s="196">
        <f>IF(SUM(AR8:BC8)=0,"",SUM(AR8:BC8))</f>
        <v>1.1100000000000001</v>
      </c>
      <c r="BE8" s="197"/>
      <c r="BF8" s="197"/>
      <c r="BW8" s="68">
        <v>6</v>
      </c>
      <c r="BX8" s="54">
        <f>'2.自重'!$BW29</f>
        <v>6</v>
      </c>
      <c r="BY8" s="218" t="str">
        <f t="shared" ref="BY8:BY10" si="2">IF(BX8&lt;&gt;"","段目","")</f>
        <v>段目</v>
      </c>
      <c r="BZ8" s="219"/>
      <c r="CA8" s="180">
        <f>IF(BX8&lt;&gt;"",'2.自重'!$BO$9*(BW8-4),"")</f>
        <v>0.8</v>
      </c>
      <c r="CB8" s="181"/>
      <c r="CC8" s="182"/>
      <c r="CD8" s="180"/>
      <c r="CE8" s="181"/>
      <c r="CF8" s="182"/>
      <c r="CG8" s="180" t="str">
        <f>IF(('1.設計条件'!$BG$6+1)&gt;BW8, '2.自重'!$CN$18, "")</f>
        <v/>
      </c>
      <c r="CH8" s="181"/>
      <c r="CI8" s="182"/>
      <c r="CJ8" s="180">
        <f>IF(('1.設計条件'!$BG$6+1)=BW8, '2.自重'!$CN$17, "")</f>
        <v>0.71000000000000008</v>
      </c>
      <c r="CK8" s="181"/>
      <c r="CL8" s="182"/>
      <c r="CM8" s="196">
        <f>IF(SUM(CA8:CL8)=0,"",SUM(CA8:CL8))</f>
        <v>1.5100000000000002</v>
      </c>
      <c r="CN8" s="197"/>
      <c r="CO8" s="197"/>
      <c r="DF8" s="68">
        <v>6</v>
      </c>
      <c r="DG8" s="54">
        <f>'2.自重'!$BW29</f>
        <v>6</v>
      </c>
      <c r="DH8" s="218" t="str">
        <f t="shared" ref="DH8:DH11" si="3">IF(DG8&lt;&gt;"","段目","")</f>
        <v>段目</v>
      </c>
      <c r="DI8" s="219"/>
      <c r="DJ8" s="180">
        <f>IF(DG8&lt;&gt;"",'2.自重'!$BO$9*(DF8-3),"")</f>
        <v>1.2000000000000002</v>
      </c>
      <c r="DK8" s="181"/>
      <c r="DL8" s="182"/>
      <c r="DM8" s="180"/>
      <c r="DN8" s="181"/>
      <c r="DO8" s="182"/>
      <c r="DP8" s="180" t="str">
        <f>IF(('1.設計条件'!$BG$6+1)&gt;DF8, '2.自重'!$CN$18, "")</f>
        <v/>
      </c>
      <c r="DQ8" s="181"/>
      <c r="DR8" s="182"/>
      <c r="DS8" s="180">
        <f>IF(('1.設計条件'!$BG$6+1)=DF8, '2.自重'!$CN$17, "")</f>
        <v>0.71000000000000008</v>
      </c>
      <c r="DT8" s="181"/>
      <c r="DU8" s="182"/>
      <c r="DV8" s="196">
        <f>IF(SUM(DJ8:DU8)=0,"",SUM(DJ8:DU8))</f>
        <v>1.9100000000000001</v>
      </c>
      <c r="DW8" s="197"/>
      <c r="DX8" s="197"/>
      <c r="EO8" s="68">
        <v>6</v>
      </c>
      <c r="EP8" s="54">
        <f>'2.自重'!$BW29</f>
        <v>6</v>
      </c>
      <c r="EQ8" s="218" t="str">
        <f t="shared" ref="EQ8:EQ12" si="4">IF(EP8&lt;&gt;"","段目","")</f>
        <v>段目</v>
      </c>
      <c r="ER8" s="219"/>
      <c r="ES8" s="180">
        <f>IF(EP8&lt;&gt;"",'2.自重'!$BO$9*(EO8-2),"")</f>
        <v>1.6</v>
      </c>
      <c r="ET8" s="181"/>
      <c r="EU8" s="182"/>
      <c r="EV8" s="180"/>
      <c r="EW8" s="181"/>
      <c r="EX8" s="182"/>
      <c r="EY8" s="180" t="str">
        <f>IF(('1.設計条件'!$BG$6+1)&gt;EO8, '2.自重'!$CN$18, "")</f>
        <v/>
      </c>
      <c r="EZ8" s="181"/>
      <c r="FA8" s="182"/>
      <c r="FB8" s="180">
        <f>IF(('1.設計条件'!$BG$6+1)=EO8, '2.自重'!$CN$17, "")</f>
        <v>0.71000000000000008</v>
      </c>
      <c r="FC8" s="181"/>
      <c r="FD8" s="182"/>
      <c r="FE8" s="196">
        <f>IF(SUM(ES8:FD8)=0,"",SUM(ES8:FD8))</f>
        <v>2.31</v>
      </c>
      <c r="FF8" s="197"/>
      <c r="FG8" s="197"/>
      <c r="FX8" s="68">
        <v>6</v>
      </c>
      <c r="FY8" s="54">
        <f>'2.自重'!$BW29</f>
        <v>6</v>
      </c>
      <c r="FZ8" s="218" t="str">
        <f t="shared" ref="FZ8:FZ13" si="5">IF(FY8&lt;&gt;"","段目","")</f>
        <v>段目</v>
      </c>
      <c r="GA8" s="219"/>
      <c r="GB8" s="180">
        <f>IF(FY8&lt;&gt;"",'2.自重'!$BO$9*(FX8-1),"")</f>
        <v>2</v>
      </c>
      <c r="GC8" s="181"/>
      <c r="GD8" s="182"/>
      <c r="GE8" s="180"/>
      <c r="GF8" s="181"/>
      <c r="GG8" s="182"/>
      <c r="GH8" s="180" t="str">
        <f>IF(('1.設計条件'!$BG$6+1)&gt;FX8, '2.自重'!$CN$18, "")</f>
        <v/>
      </c>
      <c r="GI8" s="181"/>
      <c r="GJ8" s="182"/>
      <c r="GK8" s="180">
        <f>IF(('1.設計条件'!$BG$6+1)=FX8, '2.自重'!$CN$17, "")</f>
        <v>0.71000000000000008</v>
      </c>
      <c r="GL8" s="181"/>
      <c r="GM8" s="182"/>
      <c r="GN8" s="196">
        <f>IF(SUM(GB8:GM8)=0,"",SUM(GB8:GM8))</f>
        <v>2.71</v>
      </c>
      <c r="GO8" s="197"/>
      <c r="GP8" s="197"/>
    </row>
    <row r="9" spans="3:198">
      <c r="E9" s="68">
        <v>5</v>
      </c>
      <c r="F9" s="54"/>
      <c r="G9" s="218"/>
      <c r="H9" s="219"/>
      <c r="I9" s="180"/>
      <c r="J9" s="181"/>
      <c r="K9" s="182"/>
      <c r="L9" s="180"/>
      <c r="M9" s="181"/>
      <c r="N9" s="182"/>
      <c r="O9" s="180"/>
      <c r="P9" s="181"/>
      <c r="Q9" s="182"/>
      <c r="R9" s="180"/>
      <c r="S9" s="181"/>
      <c r="T9" s="182"/>
      <c r="U9" s="196"/>
      <c r="V9" s="197"/>
      <c r="W9" s="197"/>
      <c r="AN9" s="68">
        <v>5</v>
      </c>
      <c r="AO9" s="54">
        <f>'2.自重'!$BW30</f>
        <v>5</v>
      </c>
      <c r="AP9" s="218" t="str">
        <f t="shared" si="1"/>
        <v>段目</v>
      </c>
      <c r="AQ9" s="219"/>
      <c r="AR9" s="180">
        <f>IF(AO9&lt;&gt;"",'2.自重'!$BO$9*(AN9-5),"")</f>
        <v>0</v>
      </c>
      <c r="AS9" s="181"/>
      <c r="AT9" s="182"/>
      <c r="AU9" s="180"/>
      <c r="AV9" s="181"/>
      <c r="AW9" s="182"/>
      <c r="AX9" s="180">
        <f>IF(('1.設計条件'!$BG$6+1)&gt;AN9, '2.自重'!$CN$18, "")</f>
        <v>0.75</v>
      </c>
      <c r="AY9" s="181"/>
      <c r="AZ9" s="182"/>
      <c r="BA9" s="180" t="str">
        <f>IF(('1.設計条件'!$BG$6+1)=AN9, '2.自重'!$CN$17, "")</f>
        <v/>
      </c>
      <c r="BB9" s="181"/>
      <c r="BC9" s="182"/>
      <c r="BD9" s="196">
        <f t="shared" ref="BD9" si="6">IF(SUM(AR9:BC9)=0,"",SUM(AR9:BC9))</f>
        <v>0.75</v>
      </c>
      <c r="BE9" s="197"/>
      <c r="BF9" s="197"/>
      <c r="BW9" s="68">
        <v>5</v>
      </c>
      <c r="BX9" s="54">
        <f>'2.自重'!$BW30</f>
        <v>5</v>
      </c>
      <c r="BY9" s="218" t="str">
        <f t="shared" si="2"/>
        <v>段目</v>
      </c>
      <c r="BZ9" s="219"/>
      <c r="CA9" s="180">
        <f>IF(BX9&lt;&gt;"",'2.自重'!$BO$9*(BW9-4),"")</f>
        <v>0.4</v>
      </c>
      <c r="CB9" s="181"/>
      <c r="CC9" s="182"/>
      <c r="CD9" s="180"/>
      <c r="CE9" s="181"/>
      <c r="CF9" s="182"/>
      <c r="CG9" s="180">
        <f>IF(('1.設計条件'!$BG$6+1)&gt;BW9, '2.自重'!$CN$18, "")</f>
        <v>0.75</v>
      </c>
      <c r="CH9" s="181"/>
      <c r="CI9" s="182"/>
      <c r="CJ9" s="180" t="str">
        <f>IF(('1.設計条件'!$BG$6+1)=BW9, '2.自重'!$CN$17, "")</f>
        <v/>
      </c>
      <c r="CK9" s="181"/>
      <c r="CL9" s="182"/>
      <c r="CM9" s="196">
        <f t="shared" ref="CM9:CM10" si="7">IF(SUM(CA9:CL9)=0,"",SUM(CA9:CL9))</f>
        <v>1.1499999999999999</v>
      </c>
      <c r="CN9" s="197"/>
      <c r="CO9" s="197"/>
      <c r="DF9" s="68">
        <v>5</v>
      </c>
      <c r="DG9" s="54">
        <f>'2.自重'!$BW30</f>
        <v>5</v>
      </c>
      <c r="DH9" s="218" t="str">
        <f t="shared" si="3"/>
        <v>段目</v>
      </c>
      <c r="DI9" s="219"/>
      <c r="DJ9" s="180">
        <f>IF(DG9&lt;&gt;"",'2.自重'!$BO$9*(DF9-3),"")</f>
        <v>0.8</v>
      </c>
      <c r="DK9" s="181"/>
      <c r="DL9" s="182"/>
      <c r="DM9" s="180"/>
      <c r="DN9" s="181"/>
      <c r="DO9" s="182"/>
      <c r="DP9" s="180">
        <f>IF(('1.設計条件'!$BG$6+1)&gt;DF9, '2.自重'!$CN$18, "")</f>
        <v>0.75</v>
      </c>
      <c r="DQ9" s="181"/>
      <c r="DR9" s="182"/>
      <c r="DS9" s="180" t="str">
        <f>IF(('1.設計条件'!$BG$6+1)=DF9, '2.自重'!$CN$17, "")</f>
        <v/>
      </c>
      <c r="DT9" s="181"/>
      <c r="DU9" s="182"/>
      <c r="DV9" s="196">
        <f t="shared" ref="DV9:DV11" si="8">IF(SUM(DJ9:DU9)=0,"",SUM(DJ9:DU9))</f>
        <v>1.55</v>
      </c>
      <c r="DW9" s="197"/>
      <c r="DX9" s="197"/>
      <c r="EO9" s="68">
        <v>5</v>
      </c>
      <c r="EP9" s="54">
        <f>'2.自重'!$BW30</f>
        <v>5</v>
      </c>
      <c r="EQ9" s="218" t="str">
        <f t="shared" si="4"/>
        <v>段目</v>
      </c>
      <c r="ER9" s="219"/>
      <c r="ES9" s="180">
        <f>IF(EP9&lt;&gt;"",'2.自重'!$BO$9*(EO9-2),"")</f>
        <v>1.2000000000000002</v>
      </c>
      <c r="ET9" s="181"/>
      <c r="EU9" s="182"/>
      <c r="EV9" s="180"/>
      <c r="EW9" s="181"/>
      <c r="EX9" s="182"/>
      <c r="EY9" s="180">
        <f>IF(('1.設計条件'!$BG$6+1)&gt;EO9, '2.自重'!$CN$18, "")</f>
        <v>0.75</v>
      </c>
      <c r="EZ9" s="181"/>
      <c r="FA9" s="182"/>
      <c r="FB9" s="180" t="str">
        <f>IF(('1.設計条件'!$BG$6+1)=EO9, '2.自重'!$CN$17, "")</f>
        <v/>
      </c>
      <c r="FC9" s="181"/>
      <c r="FD9" s="182"/>
      <c r="FE9" s="196">
        <f t="shared" ref="FE9:FE12" si="9">IF(SUM(ES9:FD9)=0,"",SUM(ES9:FD9))</f>
        <v>1.9500000000000002</v>
      </c>
      <c r="FF9" s="197"/>
      <c r="FG9" s="197"/>
      <c r="FX9" s="68">
        <v>5</v>
      </c>
      <c r="FY9" s="54">
        <f>'2.自重'!$BW30</f>
        <v>5</v>
      </c>
      <c r="FZ9" s="218" t="str">
        <f t="shared" si="5"/>
        <v>段目</v>
      </c>
      <c r="GA9" s="219"/>
      <c r="GB9" s="180">
        <f>IF(FY9&lt;&gt;"",'2.自重'!$BO$9*(FX9-1),"")</f>
        <v>1.6</v>
      </c>
      <c r="GC9" s="181"/>
      <c r="GD9" s="182"/>
      <c r="GE9" s="180"/>
      <c r="GF9" s="181"/>
      <c r="GG9" s="182"/>
      <c r="GH9" s="180">
        <f>IF(('1.設計条件'!$BG$6+1)&gt;FX9, '2.自重'!$CN$18, "")</f>
        <v>0.75</v>
      </c>
      <c r="GI9" s="181"/>
      <c r="GJ9" s="182"/>
      <c r="GK9" s="180" t="str">
        <f>IF(('1.設計条件'!$BG$6+1)=FX9, '2.自重'!$CN$17, "")</f>
        <v/>
      </c>
      <c r="GL9" s="181"/>
      <c r="GM9" s="182"/>
      <c r="GN9" s="196">
        <f t="shared" ref="GN9:GN12" si="10">IF(SUM(GB9:GM9)=0,"",SUM(GB9:GM9))</f>
        <v>2.35</v>
      </c>
      <c r="GO9" s="197"/>
      <c r="GP9" s="197"/>
    </row>
    <row r="10" spans="3:198">
      <c r="E10" s="68">
        <v>4</v>
      </c>
      <c r="F10" s="54"/>
      <c r="G10" s="218"/>
      <c r="H10" s="219"/>
      <c r="I10" s="180"/>
      <c r="J10" s="181"/>
      <c r="K10" s="182"/>
      <c r="L10" s="180"/>
      <c r="M10" s="181"/>
      <c r="N10" s="182"/>
      <c r="O10" s="180"/>
      <c r="P10" s="181"/>
      <c r="Q10" s="182"/>
      <c r="R10" s="180"/>
      <c r="S10" s="181"/>
      <c r="T10" s="182"/>
      <c r="U10" s="196"/>
      <c r="V10" s="197"/>
      <c r="W10" s="197"/>
      <c r="AN10" s="68">
        <v>4</v>
      </c>
      <c r="AO10" s="54"/>
      <c r="AP10" s="218"/>
      <c r="AQ10" s="219"/>
      <c r="AR10" s="180"/>
      <c r="AS10" s="181"/>
      <c r="AT10" s="182"/>
      <c r="AU10" s="180"/>
      <c r="AV10" s="181"/>
      <c r="AW10" s="182"/>
      <c r="AX10" s="180"/>
      <c r="AY10" s="181"/>
      <c r="AZ10" s="182"/>
      <c r="BA10" s="180"/>
      <c r="BB10" s="181"/>
      <c r="BC10" s="182"/>
      <c r="BD10" s="196"/>
      <c r="BE10" s="197"/>
      <c r="BF10" s="197"/>
      <c r="BW10" s="68">
        <v>4</v>
      </c>
      <c r="BX10" s="54">
        <f>'2.自重'!$BW31</f>
        <v>4</v>
      </c>
      <c r="BY10" s="218" t="str">
        <f t="shared" si="2"/>
        <v>段目</v>
      </c>
      <c r="BZ10" s="219"/>
      <c r="CA10" s="180">
        <f>IF(BX10&lt;&gt;"",'2.自重'!$BO$9*(BW10-4),"")</f>
        <v>0</v>
      </c>
      <c r="CB10" s="181"/>
      <c r="CC10" s="182"/>
      <c r="CD10" s="180"/>
      <c r="CE10" s="181"/>
      <c r="CF10" s="182"/>
      <c r="CG10" s="180">
        <f>IF(('1.設計条件'!$BG$6+1)&gt;BW10, '2.自重'!$CN$18, "")</f>
        <v>0.75</v>
      </c>
      <c r="CH10" s="181"/>
      <c r="CI10" s="182"/>
      <c r="CJ10" s="180" t="str">
        <f>IF(('1.設計条件'!$BG$6+1)=BW10, '2.自重'!$CN$17, "")</f>
        <v/>
      </c>
      <c r="CK10" s="181"/>
      <c r="CL10" s="182"/>
      <c r="CM10" s="196">
        <f t="shared" si="7"/>
        <v>0.75</v>
      </c>
      <c r="CN10" s="197"/>
      <c r="CO10" s="197"/>
      <c r="DF10" s="68">
        <v>4</v>
      </c>
      <c r="DG10" s="54">
        <f>'2.自重'!$BW31</f>
        <v>4</v>
      </c>
      <c r="DH10" s="218" t="str">
        <f t="shared" si="3"/>
        <v>段目</v>
      </c>
      <c r="DI10" s="219"/>
      <c r="DJ10" s="180">
        <f>IF(DG10&lt;&gt;"",'2.自重'!$BO$9*(DF10-3),"")</f>
        <v>0.4</v>
      </c>
      <c r="DK10" s="181"/>
      <c r="DL10" s="182"/>
      <c r="DM10" s="180"/>
      <c r="DN10" s="181"/>
      <c r="DO10" s="182"/>
      <c r="DP10" s="180">
        <f>IF(('1.設計条件'!$BG$6+1)&gt;DF10, '2.自重'!$CN$18, "")</f>
        <v>0.75</v>
      </c>
      <c r="DQ10" s="181"/>
      <c r="DR10" s="182"/>
      <c r="DS10" s="180" t="str">
        <f>IF(('1.設計条件'!$BG$6+1)=DF10, '2.自重'!$CN$17, "")</f>
        <v/>
      </c>
      <c r="DT10" s="181"/>
      <c r="DU10" s="182"/>
      <c r="DV10" s="196">
        <f t="shared" si="8"/>
        <v>1.1499999999999999</v>
      </c>
      <c r="DW10" s="197"/>
      <c r="DX10" s="197"/>
      <c r="EO10" s="68">
        <v>4</v>
      </c>
      <c r="EP10" s="54">
        <f>'2.自重'!$BW31</f>
        <v>4</v>
      </c>
      <c r="EQ10" s="218" t="str">
        <f t="shared" si="4"/>
        <v>段目</v>
      </c>
      <c r="ER10" s="219"/>
      <c r="ES10" s="180">
        <f>IF(EP10&lt;&gt;"",'2.自重'!$BO$9*(EO10-2),"")</f>
        <v>0.8</v>
      </c>
      <c r="ET10" s="181"/>
      <c r="EU10" s="182"/>
      <c r="EV10" s="180"/>
      <c r="EW10" s="181"/>
      <c r="EX10" s="182"/>
      <c r="EY10" s="180">
        <f>IF(('1.設計条件'!$BG$6+1)&gt;EO10, '2.自重'!$CN$18, "")</f>
        <v>0.75</v>
      </c>
      <c r="EZ10" s="181"/>
      <c r="FA10" s="182"/>
      <c r="FB10" s="180" t="str">
        <f>IF(('1.設計条件'!$BG$6+1)=EO10, '2.自重'!$CN$17, "")</f>
        <v/>
      </c>
      <c r="FC10" s="181"/>
      <c r="FD10" s="182"/>
      <c r="FE10" s="196">
        <f t="shared" si="9"/>
        <v>1.55</v>
      </c>
      <c r="FF10" s="197"/>
      <c r="FG10" s="197"/>
      <c r="FX10" s="68">
        <v>4</v>
      </c>
      <c r="FY10" s="54">
        <f>'2.自重'!$BW31</f>
        <v>4</v>
      </c>
      <c r="FZ10" s="218" t="str">
        <f t="shared" si="5"/>
        <v>段目</v>
      </c>
      <c r="GA10" s="219"/>
      <c r="GB10" s="180">
        <f>IF(FY10&lt;&gt;"",'2.自重'!$BO$9*(FX10-1),"")</f>
        <v>1.2000000000000002</v>
      </c>
      <c r="GC10" s="181"/>
      <c r="GD10" s="182"/>
      <c r="GE10" s="180"/>
      <c r="GF10" s="181"/>
      <c r="GG10" s="182"/>
      <c r="GH10" s="180">
        <f>IF(('1.設計条件'!$BG$6+1)&gt;FX10, '2.自重'!$CN$18, "")</f>
        <v>0.75</v>
      </c>
      <c r="GI10" s="181"/>
      <c r="GJ10" s="182"/>
      <c r="GK10" s="180" t="str">
        <f>IF(('1.設計条件'!$BG$6+1)=FX10, '2.自重'!$CN$17, "")</f>
        <v/>
      </c>
      <c r="GL10" s="181"/>
      <c r="GM10" s="182"/>
      <c r="GN10" s="196">
        <f t="shared" si="10"/>
        <v>1.9500000000000002</v>
      </c>
      <c r="GO10" s="197"/>
      <c r="GP10" s="197"/>
    </row>
    <row r="11" spans="3:198">
      <c r="E11" s="68">
        <v>3</v>
      </c>
      <c r="F11" s="54"/>
      <c r="G11" s="218"/>
      <c r="H11" s="219"/>
      <c r="I11" s="180"/>
      <c r="J11" s="181"/>
      <c r="K11" s="182"/>
      <c r="L11" s="180"/>
      <c r="M11" s="181"/>
      <c r="N11" s="182"/>
      <c r="O11" s="180"/>
      <c r="P11" s="181"/>
      <c r="Q11" s="182"/>
      <c r="R11" s="180"/>
      <c r="S11" s="181"/>
      <c r="T11" s="182"/>
      <c r="U11" s="196"/>
      <c r="V11" s="197"/>
      <c r="W11" s="197"/>
      <c r="AN11" s="68">
        <v>3</v>
      </c>
      <c r="AO11" s="54"/>
      <c r="AP11" s="218"/>
      <c r="AQ11" s="219"/>
      <c r="AR11" s="180"/>
      <c r="AS11" s="181"/>
      <c r="AT11" s="182"/>
      <c r="AU11" s="180"/>
      <c r="AV11" s="181"/>
      <c r="AW11" s="182"/>
      <c r="AX11" s="180"/>
      <c r="AY11" s="181"/>
      <c r="AZ11" s="182"/>
      <c r="BA11" s="180"/>
      <c r="BB11" s="181"/>
      <c r="BC11" s="182"/>
      <c r="BD11" s="196"/>
      <c r="BE11" s="197"/>
      <c r="BF11" s="197"/>
      <c r="BW11" s="68">
        <v>3</v>
      </c>
      <c r="BX11" s="54"/>
      <c r="BY11" s="218"/>
      <c r="BZ11" s="219"/>
      <c r="CA11" s="180"/>
      <c r="CB11" s="181"/>
      <c r="CC11" s="182"/>
      <c r="CD11" s="180"/>
      <c r="CE11" s="181"/>
      <c r="CF11" s="182"/>
      <c r="CG11" s="180"/>
      <c r="CH11" s="181"/>
      <c r="CI11" s="182"/>
      <c r="CJ11" s="180"/>
      <c r="CK11" s="181"/>
      <c r="CL11" s="182"/>
      <c r="CM11" s="196"/>
      <c r="CN11" s="197"/>
      <c r="CO11" s="197"/>
      <c r="DF11" s="68">
        <v>3</v>
      </c>
      <c r="DG11" s="54">
        <f>'2.自重'!$BW32</f>
        <v>3</v>
      </c>
      <c r="DH11" s="218" t="str">
        <f t="shared" si="3"/>
        <v>段目</v>
      </c>
      <c r="DI11" s="219"/>
      <c r="DJ11" s="180">
        <v>0</v>
      </c>
      <c r="DK11" s="181"/>
      <c r="DL11" s="182"/>
      <c r="DM11" s="180"/>
      <c r="DN11" s="181"/>
      <c r="DO11" s="182"/>
      <c r="DP11" s="180">
        <f>IF(('1.設計条件'!$BG$6+1)&gt;DF11, '2.自重'!$CN$18, "")</f>
        <v>0.75</v>
      </c>
      <c r="DQ11" s="181"/>
      <c r="DR11" s="182"/>
      <c r="DS11" s="180" t="str">
        <f>IF(('1.設計条件'!$BG$6+1)=DF11, '2.自重'!$CN$17, "")</f>
        <v/>
      </c>
      <c r="DT11" s="181"/>
      <c r="DU11" s="182"/>
      <c r="DV11" s="196">
        <f t="shared" si="8"/>
        <v>0.75</v>
      </c>
      <c r="DW11" s="197"/>
      <c r="DX11" s="197"/>
      <c r="EO11" s="68">
        <v>3</v>
      </c>
      <c r="EP11" s="54">
        <f>'2.自重'!$BW32</f>
        <v>3</v>
      </c>
      <c r="EQ11" s="218" t="str">
        <f t="shared" si="4"/>
        <v>段目</v>
      </c>
      <c r="ER11" s="219"/>
      <c r="ES11" s="180">
        <f>IF(EP11&lt;&gt;"",'2.自重'!$BO$9*(EO11-2),"")</f>
        <v>0.4</v>
      </c>
      <c r="ET11" s="181"/>
      <c r="EU11" s="182"/>
      <c r="EV11" s="180"/>
      <c r="EW11" s="181"/>
      <c r="EX11" s="182"/>
      <c r="EY11" s="180">
        <f>IF(('1.設計条件'!$BG$6+1)&gt;EO11, '2.自重'!$CN$18, "")</f>
        <v>0.75</v>
      </c>
      <c r="EZ11" s="181"/>
      <c r="FA11" s="182"/>
      <c r="FB11" s="180" t="str">
        <f>IF(('1.設計条件'!$BG$6+1)=EO11, '2.自重'!$CN$17, "")</f>
        <v/>
      </c>
      <c r="FC11" s="181"/>
      <c r="FD11" s="182"/>
      <c r="FE11" s="196">
        <f t="shared" si="9"/>
        <v>1.1499999999999999</v>
      </c>
      <c r="FF11" s="197"/>
      <c r="FG11" s="197"/>
      <c r="FX11" s="68">
        <v>3</v>
      </c>
      <c r="FY11" s="54">
        <f>'2.自重'!$BW32</f>
        <v>3</v>
      </c>
      <c r="FZ11" s="218" t="str">
        <f t="shared" si="5"/>
        <v>段目</v>
      </c>
      <c r="GA11" s="219"/>
      <c r="GB11" s="180">
        <f>IF(FY11&lt;&gt;"",'2.自重'!$BO$9*(FX11-1),"")</f>
        <v>0.8</v>
      </c>
      <c r="GC11" s="181"/>
      <c r="GD11" s="182"/>
      <c r="GE11" s="180"/>
      <c r="GF11" s="181"/>
      <c r="GG11" s="182"/>
      <c r="GH11" s="180">
        <f>IF(('1.設計条件'!$BG$6+1)&gt;FX11, '2.自重'!$CN$18, "")</f>
        <v>0.75</v>
      </c>
      <c r="GI11" s="181"/>
      <c r="GJ11" s="182"/>
      <c r="GK11" s="180" t="str">
        <f>IF(('1.設計条件'!$BG$6+1)=FX11, '2.自重'!$CN$17, "")</f>
        <v/>
      </c>
      <c r="GL11" s="181"/>
      <c r="GM11" s="182"/>
      <c r="GN11" s="196">
        <f t="shared" si="10"/>
        <v>1.55</v>
      </c>
      <c r="GO11" s="197"/>
      <c r="GP11" s="197"/>
    </row>
    <row r="12" spans="3:198">
      <c r="E12" s="68">
        <v>2</v>
      </c>
      <c r="F12" s="54"/>
      <c r="G12" s="218"/>
      <c r="H12" s="219"/>
      <c r="I12" s="180"/>
      <c r="J12" s="181"/>
      <c r="K12" s="182"/>
      <c r="L12" s="180"/>
      <c r="M12" s="181"/>
      <c r="N12" s="182"/>
      <c r="O12" s="180"/>
      <c r="P12" s="181"/>
      <c r="Q12" s="182"/>
      <c r="R12" s="180"/>
      <c r="S12" s="181"/>
      <c r="T12" s="182"/>
      <c r="U12" s="196"/>
      <c r="V12" s="197"/>
      <c r="W12" s="197"/>
      <c r="AN12" s="68">
        <v>2</v>
      </c>
      <c r="AO12" s="54"/>
      <c r="AP12" s="218"/>
      <c r="AQ12" s="219"/>
      <c r="AR12" s="180"/>
      <c r="AS12" s="181"/>
      <c r="AT12" s="182"/>
      <c r="AU12" s="180"/>
      <c r="AV12" s="181"/>
      <c r="AW12" s="182"/>
      <c r="AX12" s="180"/>
      <c r="AY12" s="181"/>
      <c r="AZ12" s="182"/>
      <c r="BA12" s="180"/>
      <c r="BB12" s="181"/>
      <c r="BC12" s="182"/>
      <c r="BD12" s="196"/>
      <c r="BE12" s="197"/>
      <c r="BF12" s="197"/>
      <c r="BW12" s="68">
        <v>2</v>
      </c>
      <c r="BX12" s="54"/>
      <c r="BY12" s="218"/>
      <c r="BZ12" s="219"/>
      <c r="CA12" s="180"/>
      <c r="CB12" s="181"/>
      <c r="CC12" s="182"/>
      <c r="CD12" s="180"/>
      <c r="CE12" s="181"/>
      <c r="CF12" s="182"/>
      <c r="CG12" s="180"/>
      <c r="CH12" s="181"/>
      <c r="CI12" s="182"/>
      <c r="CJ12" s="180"/>
      <c r="CK12" s="181"/>
      <c r="CL12" s="182"/>
      <c r="CM12" s="196"/>
      <c r="CN12" s="197"/>
      <c r="CO12" s="197"/>
      <c r="DF12" s="68">
        <v>2</v>
      </c>
      <c r="DG12" s="54"/>
      <c r="DH12" s="218"/>
      <c r="DI12" s="219"/>
      <c r="DJ12" s="180"/>
      <c r="DK12" s="181"/>
      <c r="DL12" s="182"/>
      <c r="DM12" s="180"/>
      <c r="DN12" s="181"/>
      <c r="DO12" s="182"/>
      <c r="DP12" s="180"/>
      <c r="DQ12" s="181"/>
      <c r="DR12" s="182"/>
      <c r="DS12" s="180"/>
      <c r="DT12" s="181"/>
      <c r="DU12" s="182"/>
      <c r="DV12" s="196"/>
      <c r="DW12" s="197"/>
      <c r="DX12" s="197"/>
      <c r="EO12" s="68">
        <v>2</v>
      </c>
      <c r="EP12" s="54">
        <f>'2.自重'!$BW33</f>
        <v>2</v>
      </c>
      <c r="EQ12" s="218" t="str">
        <f t="shared" si="4"/>
        <v>段目</v>
      </c>
      <c r="ER12" s="219"/>
      <c r="ES12" s="180">
        <v>0</v>
      </c>
      <c r="ET12" s="181"/>
      <c r="EU12" s="182"/>
      <c r="EV12" s="180"/>
      <c r="EW12" s="181"/>
      <c r="EX12" s="182"/>
      <c r="EY12" s="180">
        <f>IF(('1.設計条件'!$BG$6+1)&gt;EO12, '2.自重'!$CN$18, "")</f>
        <v>0.75</v>
      </c>
      <c r="EZ12" s="181"/>
      <c r="FA12" s="182"/>
      <c r="FB12" s="180" t="str">
        <f>IF(('1.設計条件'!$BG$6+1)=EO12, '2.自重'!$CN$17, "")</f>
        <v/>
      </c>
      <c r="FC12" s="181"/>
      <c r="FD12" s="182"/>
      <c r="FE12" s="196">
        <f t="shared" si="9"/>
        <v>0.75</v>
      </c>
      <c r="FF12" s="197"/>
      <c r="FG12" s="197"/>
      <c r="FX12" s="68">
        <v>2</v>
      </c>
      <c r="FY12" s="54">
        <f>'2.自重'!$BW33</f>
        <v>2</v>
      </c>
      <c r="FZ12" s="218" t="str">
        <f t="shared" si="5"/>
        <v>段目</v>
      </c>
      <c r="GA12" s="219"/>
      <c r="GB12" s="180">
        <f>IF(FY12&lt;&gt;"",'2.自重'!$BO$9*(FX12-1),"")</f>
        <v>0.4</v>
      </c>
      <c r="GC12" s="181"/>
      <c r="GD12" s="182"/>
      <c r="GE12" s="180"/>
      <c r="GF12" s="181"/>
      <c r="GG12" s="182"/>
      <c r="GH12" s="180">
        <f>IF(('1.設計条件'!$BG$6+1)&gt;FX12, '2.自重'!$CN$18, "")</f>
        <v>0.75</v>
      </c>
      <c r="GI12" s="181"/>
      <c r="GJ12" s="182"/>
      <c r="GK12" s="180" t="str">
        <f>IF(('1.設計条件'!$BG$6+1)=FX12, '2.自重'!$CN$17, "")</f>
        <v/>
      </c>
      <c r="GL12" s="181"/>
      <c r="GM12" s="182"/>
      <c r="GN12" s="196">
        <f t="shared" si="10"/>
        <v>1.1499999999999999</v>
      </c>
      <c r="GO12" s="197"/>
      <c r="GP12" s="197"/>
    </row>
    <row r="13" spans="3:198">
      <c r="E13" s="68">
        <v>1</v>
      </c>
      <c r="F13" s="54"/>
      <c r="G13" s="218"/>
      <c r="H13" s="219"/>
      <c r="I13" s="180"/>
      <c r="J13" s="181"/>
      <c r="K13" s="182"/>
      <c r="L13" s="180"/>
      <c r="M13" s="181"/>
      <c r="N13" s="182"/>
      <c r="O13" s="180"/>
      <c r="P13" s="181"/>
      <c r="Q13" s="182"/>
      <c r="R13" s="180"/>
      <c r="S13" s="181"/>
      <c r="T13" s="182"/>
      <c r="U13" s="196"/>
      <c r="V13" s="197"/>
      <c r="W13" s="197"/>
      <c r="AN13" s="68">
        <v>1</v>
      </c>
      <c r="AO13" s="54"/>
      <c r="AP13" s="218"/>
      <c r="AQ13" s="219"/>
      <c r="AR13" s="180"/>
      <c r="AS13" s="181"/>
      <c r="AT13" s="182"/>
      <c r="AU13" s="180"/>
      <c r="AV13" s="181"/>
      <c r="AW13" s="182"/>
      <c r="AX13" s="180"/>
      <c r="AY13" s="181"/>
      <c r="AZ13" s="182"/>
      <c r="BA13" s="180"/>
      <c r="BB13" s="181"/>
      <c r="BC13" s="182"/>
      <c r="BD13" s="196"/>
      <c r="BE13" s="197"/>
      <c r="BF13" s="197"/>
      <c r="BW13" s="68">
        <v>1</v>
      </c>
      <c r="BX13" s="54"/>
      <c r="BY13" s="218"/>
      <c r="BZ13" s="219"/>
      <c r="CA13" s="180"/>
      <c r="CB13" s="181"/>
      <c r="CC13" s="182"/>
      <c r="CD13" s="180"/>
      <c r="CE13" s="181"/>
      <c r="CF13" s="182"/>
      <c r="CG13" s="180"/>
      <c r="CH13" s="181"/>
      <c r="CI13" s="182"/>
      <c r="CJ13" s="180"/>
      <c r="CK13" s="181"/>
      <c r="CL13" s="182"/>
      <c r="CM13" s="196"/>
      <c r="CN13" s="197"/>
      <c r="CO13" s="197"/>
      <c r="DF13" s="68">
        <v>1</v>
      </c>
      <c r="DG13" s="54"/>
      <c r="DH13" s="218"/>
      <c r="DI13" s="219"/>
      <c r="DJ13" s="180"/>
      <c r="DK13" s="181"/>
      <c r="DL13" s="182"/>
      <c r="DM13" s="180"/>
      <c r="DN13" s="181"/>
      <c r="DO13" s="182"/>
      <c r="DP13" s="180"/>
      <c r="DQ13" s="181"/>
      <c r="DR13" s="182"/>
      <c r="DS13" s="180"/>
      <c r="DT13" s="181"/>
      <c r="DU13" s="182"/>
      <c r="DV13" s="196"/>
      <c r="DW13" s="197"/>
      <c r="DX13" s="197"/>
      <c r="EO13" s="68">
        <v>1</v>
      </c>
      <c r="EP13" s="54"/>
      <c r="EQ13" s="218"/>
      <c r="ER13" s="219"/>
      <c r="ES13" s="180"/>
      <c r="ET13" s="181"/>
      <c r="EU13" s="182"/>
      <c r="EV13" s="180"/>
      <c r="EW13" s="181"/>
      <c r="EX13" s="182"/>
      <c r="EY13" s="180"/>
      <c r="EZ13" s="181"/>
      <c r="FA13" s="182"/>
      <c r="FB13" s="180"/>
      <c r="FC13" s="181"/>
      <c r="FD13" s="182"/>
      <c r="FE13" s="196"/>
      <c r="FF13" s="197"/>
      <c r="FG13" s="197"/>
      <c r="FX13" s="68">
        <v>1</v>
      </c>
      <c r="FY13" s="54">
        <f>'2.自重'!$BW34</f>
        <v>1</v>
      </c>
      <c r="FZ13" s="218" t="str">
        <f t="shared" si="5"/>
        <v>段目</v>
      </c>
      <c r="GA13" s="219"/>
      <c r="GB13" s="180">
        <v>0</v>
      </c>
      <c r="GC13" s="181"/>
      <c r="GD13" s="182"/>
      <c r="GE13" s="180"/>
      <c r="GF13" s="181"/>
      <c r="GG13" s="182"/>
      <c r="GH13" s="180">
        <f>IF(('1.設計条件'!$BG$6+1)&gt;FX13, '2.自重'!$CN$18, "")</f>
        <v>0.75</v>
      </c>
      <c r="GI13" s="181"/>
      <c r="GJ13" s="182"/>
      <c r="GK13" s="180" t="str">
        <f>IF(('1.設計条件'!$BG$6+1)=FX13, '2.自重'!$CN$17, "")</f>
        <v/>
      </c>
      <c r="GL13" s="181"/>
      <c r="GM13" s="182"/>
      <c r="GN13" s="196">
        <f>IF(SUM(GB13:GM13)=0,"",SUM(GB13:GM13))</f>
        <v>0.75</v>
      </c>
      <c r="GO13" s="197"/>
      <c r="GP13" s="197"/>
    </row>
    <row r="14" spans="3:198">
      <c r="E14" s="68">
        <v>0</v>
      </c>
      <c r="F14" s="220"/>
      <c r="G14" s="220"/>
      <c r="H14" s="220"/>
      <c r="I14" s="196"/>
      <c r="J14" s="197"/>
      <c r="K14" s="197"/>
      <c r="L14" s="180"/>
      <c r="M14" s="181"/>
      <c r="N14" s="182"/>
      <c r="O14" s="180"/>
      <c r="P14" s="181"/>
      <c r="Q14" s="182"/>
      <c r="R14" s="180"/>
      <c r="S14" s="181"/>
      <c r="T14" s="182"/>
      <c r="U14" s="196"/>
      <c r="V14" s="197"/>
      <c r="W14" s="197"/>
      <c r="AN14" s="68">
        <v>0</v>
      </c>
      <c r="AO14" s="220"/>
      <c r="AP14" s="220"/>
      <c r="AQ14" s="220"/>
      <c r="AR14" s="196"/>
      <c r="AS14" s="197"/>
      <c r="AT14" s="197"/>
      <c r="AU14" s="180"/>
      <c r="AV14" s="181"/>
      <c r="AW14" s="182"/>
      <c r="AX14" s="180"/>
      <c r="AY14" s="181"/>
      <c r="AZ14" s="182"/>
      <c r="BA14" s="180"/>
      <c r="BB14" s="181"/>
      <c r="BC14" s="182"/>
      <c r="BD14" s="196"/>
      <c r="BE14" s="197"/>
      <c r="BF14" s="197"/>
      <c r="BW14" s="68">
        <v>0</v>
      </c>
      <c r="BX14" s="220"/>
      <c r="BY14" s="220"/>
      <c r="BZ14" s="220"/>
      <c r="CA14" s="196"/>
      <c r="CB14" s="197"/>
      <c r="CC14" s="197"/>
      <c r="CD14" s="180"/>
      <c r="CE14" s="181"/>
      <c r="CF14" s="182"/>
      <c r="CG14" s="180"/>
      <c r="CH14" s="181"/>
      <c r="CI14" s="182"/>
      <c r="CJ14" s="180"/>
      <c r="CK14" s="181"/>
      <c r="CL14" s="182"/>
      <c r="CM14" s="196"/>
      <c r="CN14" s="197"/>
      <c r="CO14" s="197"/>
      <c r="DF14" s="68">
        <v>0</v>
      </c>
      <c r="DG14" s="220"/>
      <c r="DH14" s="220"/>
      <c r="DI14" s="220"/>
      <c r="DJ14" s="196"/>
      <c r="DK14" s="197"/>
      <c r="DL14" s="197"/>
      <c r="DM14" s="180"/>
      <c r="DN14" s="181"/>
      <c r="DO14" s="182"/>
      <c r="DP14" s="180"/>
      <c r="DQ14" s="181"/>
      <c r="DR14" s="182"/>
      <c r="DS14" s="180"/>
      <c r="DT14" s="181"/>
      <c r="DU14" s="182"/>
      <c r="DV14" s="196"/>
      <c r="DW14" s="197"/>
      <c r="DX14" s="197"/>
      <c r="EO14" s="68">
        <v>0</v>
      </c>
      <c r="EP14" s="220"/>
      <c r="EQ14" s="220"/>
      <c r="ER14" s="220"/>
      <c r="ES14" s="196"/>
      <c r="ET14" s="197"/>
      <c r="EU14" s="197"/>
      <c r="EV14" s="180"/>
      <c r="EW14" s="181"/>
      <c r="EX14" s="182"/>
      <c r="EY14" s="180"/>
      <c r="EZ14" s="181"/>
      <c r="FA14" s="182"/>
      <c r="FB14" s="180"/>
      <c r="FC14" s="181"/>
      <c r="FD14" s="182"/>
      <c r="FE14" s="196"/>
      <c r="FF14" s="197"/>
      <c r="FG14" s="197"/>
      <c r="FX14" s="68">
        <v>0</v>
      </c>
      <c r="FY14" s="220"/>
      <c r="FZ14" s="220"/>
      <c r="GA14" s="220"/>
      <c r="GB14" s="196"/>
      <c r="GC14" s="197"/>
      <c r="GD14" s="197"/>
      <c r="GE14" s="180"/>
      <c r="GF14" s="181"/>
      <c r="GG14" s="182"/>
      <c r="GH14" s="180"/>
      <c r="GI14" s="181"/>
      <c r="GJ14" s="182"/>
      <c r="GK14" s="180"/>
      <c r="GL14" s="181"/>
      <c r="GM14" s="182"/>
      <c r="GN14" s="196"/>
      <c r="GO14" s="197"/>
      <c r="GP14" s="197"/>
    </row>
    <row r="16" spans="3:198">
      <c r="E16" t="s">
        <v>502</v>
      </c>
      <c r="AN16" t="s">
        <v>502</v>
      </c>
      <c r="BW16" t="s">
        <v>502</v>
      </c>
      <c r="DF16" t="s">
        <v>502</v>
      </c>
      <c r="EO16" t="s">
        <v>502</v>
      </c>
      <c r="FX16" t="s">
        <v>502</v>
      </c>
    </row>
    <row r="18" spans="6:206">
      <c r="L18" s="280" t="s">
        <v>96</v>
      </c>
      <c r="M18" s="270"/>
      <c r="N18" s="270"/>
      <c r="O18" s="281" t="s">
        <v>97</v>
      </c>
      <c r="P18" s="270"/>
      <c r="Q18" s="270"/>
      <c r="R18" s="127" t="s">
        <v>98</v>
      </c>
      <c r="S18" s="128"/>
      <c r="T18" s="128"/>
      <c r="U18" s="128"/>
      <c r="V18" s="128"/>
      <c r="W18" s="129"/>
      <c r="X18" s="127" t="s">
        <v>99</v>
      </c>
      <c r="Y18" s="128"/>
      <c r="Z18" s="128"/>
      <c r="AA18" s="128"/>
      <c r="AB18" s="128"/>
      <c r="AC18" s="128"/>
      <c r="AD18" s="128"/>
      <c r="AE18" s="129"/>
      <c r="AU18" s="280" t="s">
        <v>96</v>
      </c>
      <c r="AV18" s="270"/>
      <c r="AW18" s="270"/>
      <c r="AX18" s="281" t="s">
        <v>97</v>
      </c>
      <c r="AY18" s="270"/>
      <c r="AZ18" s="270"/>
      <c r="BA18" s="127" t="s">
        <v>98</v>
      </c>
      <c r="BB18" s="128"/>
      <c r="BC18" s="128"/>
      <c r="BD18" s="128"/>
      <c r="BE18" s="128"/>
      <c r="BF18" s="129"/>
      <c r="BG18" s="127" t="s">
        <v>99</v>
      </c>
      <c r="BH18" s="128"/>
      <c r="BI18" s="128"/>
      <c r="BJ18" s="128"/>
      <c r="BK18" s="128"/>
      <c r="BL18" s="128"/>
      <c r="BM18" s="128"/>
      <c r="BN18" s="129"/>
      <c r="CD18" s="280" t="s">
        <v>96</v>
      </c>
      <c r="CE18" s="270"/>
      <c r="CF18" s="270"/>
      <c r="CG18" s="281" t="s">
        <v>97</v>
      </c>
      <c r="CH18" s="270"/>
      <c r="CI18" s="270"/>
      <c r="CJ18" s="127" t="s">
        <v>98</v>
      </c>
      <c r="CK18" s="128"/>
      <c r="CL18" s="128"/>
      <c r="CM18" s="128"/>
      <c r="CN18" s="128"/>
      <c r="CO18" s="129"/>
      <c r="CP18" s="127" t="s">
        <v>99</v>
      </c>
      <c r="CQ18" s="128"/>
      <c r="CR18" s="128"/>
      <c r="CS18" s="128"/>
      <c r="CT18" s="128"/>
      <c r="CU18" s="128"/>
      <c r="CV18" s="128"/>
      <c r="CW18" s="129"/>
      <c r="DM18" s="280" t="s">
        <v>96</v>
      </c>
      <c r="DN18" s="270"/>
      <c r="DO18" s="270"/>
      <c r="DP18" s="281" t="s">
        <v>97</v>
      </c>
      <c r="DQ18" s="270"/>
      <c r="DR18" s="270"/>
      <c r="DS18" s="127" t="s">
        <v>98</v>
      </c>
      <c r="DT18" s="128"/>
      <c r="DU18" s="128"/>
      <c r="DV18" s="128"/>
      <c r="DW18" s="128"/>
      <c r="DX18" s="129"/>
      <c r="DY18" s="127" t="s">
        <v>99</v>
      </c>
      <c r="DZ18" s="128"/>
      <c r="EA18" s="128"/>
      <c r="EB18" s="128"/>
      <c r="EC18" s="128"/>
      <c r="ED18" s="128"/>
      <c r="EE18" s="128"/>
      <c r="EF18" s="129"/>
      <c r="EV18" s="280" t="s">
        <v>96</v>
      </c>
      <c r="EW18" s="270"/>
      <c r="EX18" s="270"/>
      <c r="EY18" s="281" t="s">
        <v>97</v>
      </c>
      <c r="EZ18" s="270"/>
      <c r="FA18" s="270"/>
      <c r="FB18" s="127" t="s">
        <v>98</v>
      </c>
      <c r="FC18" s="128"/>
      <c r="FD18" s="128"/>
      <c r="FE18" s="128"/>
      <c r="FF18" s="128"/>
      <c r="FG18" s="129"/>
      <c r="FH18" s="127" t="s">
        <v>99</v>
      </c>
      <c r="FI18" s="128"/>
      <c r="FJ18" s="128"/>
      <c r="FK18" s="128"/>
      <c r="FL18" s="128"/>
      <c r="FM18" s="128"/>
      <c r="FN18" s="128"/>
      <c r="FO18" s="129"/>
      <c r="GE18" s="280" t="s">
        <v>96</v>
      </c>
      <c r="GF18" s="270"/>
      <c r="GG18" s="270"/>
      <c r="GH18" s="281" t="s">
        <v>97</v>
      </c>
      <c r="GI18" s="270"/>
      <c r="GJ18" s="270"/>
      <c r="GK18" s="127" t="s">
        <v>98</v>
      </c>
      <c r="GL18" s="128"/>
      <c r="GM18" s="128"/>
      <c r="GN18" s="128"/>
      <c r="GO18" s="128"/>
      <c r="GP18" s="129"/>
      <c r="GQ18" s="127" t="s">
        <v>99</v>
      </c>
      <c r="GR18" s="128"/>
      <c r="GS18" s="128"/>
      <c r="GT18" s="128"/>
      <c r="GU18" s="128"/>
      <c r="GV18" s="128"/>
      <c r="GW18" s="128"/>
      <c r="GX18" s="129"/>
    </row>
    <row r="19" spans="6:206">
      <c r="L19" s="273" t="s">
        <v>100</v>
      </c>
      <c r="M19" s="274"/>
      <c r="N19" s="274"/>
      <c r="O19" s="275" t="s">
        <v>91</v>
      </c>
      <c r="P19" s="274"/>
      <c r="Q19" s="274"/>
      <c r="R19" s="275" t="s">
        <v>101</v>
      </c>
      <c r="S19" s="274"/>
      <c r="T19" s="274"/>
      <c r="U19" s="275" t="s">
        <v>102</v>
      </c>
      <c r="V19" s="274"/>
      <c r="W19" s="274"/>
      <c r="X19" s="275" t="s">
        <v>164</v>
      </c>
      <c r="Y19" s="274"/>
      <c r="Z19" s="274"/>
      <c r="AA19" s="274"/>
      <c r="AB19" s="275" t="s">
        <v>165</v>
      </c>
      <c r="AC19" s="274"/>
      <c r="AD19" s="274"/>
      <c r="AE19" s="276"/>
      <c r="AU19" s="273" t="s">
        <v>100</v>
      </c>
      <c r="AV19" s="274"/>
      <c r="AW19" s="274"/>
      <c r="AX19" s="275" t="s">
        <v>91</v>
      </c>
      <c r="AY19" s="274"/>
      <c r="AZ19" s="274"/>
      <c r="BA19" s="275" t="s">
        <v>101</v>
      </c>
      <c r="BB19" s="274"/>
      <c r="BC19" s="274"/>
      <c r="BD19" s="275" t="s">
        <v>102</v>
      </c>
      <c r="BE19" s="274"/>
      <c r="BF19" s="274"/>
      <c r="BG19" s="275" t="s">
        <v>164</v>
      </c>
      <c r="BH19" s="274"/>
      <c r="BI19" s="274"/>
      <c r="BJ19" s="274"/>
      <c r="BK19" s="275" t="s">
        <v>165</v>
      </c>
      <c r="BL19" s="274"/>
      <c r="BM19" s="274"/>
      <c r="BN19" s="276"/>
      <c r="CD19" s="273" t="s">
        <v>100</v>
      </c>
      <c r="CE19" s="274"/>
      <c r="CF19" s="274"/>
      <c r="CG19" s="275" t="s">
        <v>91</v>
      </c>
      <c r="CH19" s="274"/>
      <c r="CI19" s="274"/>
      <c r="CJ19" s="275" t="s">
        <v>101</v>
      </c>
      <c r="CK19" s="274"/>
      <c r="CL19" s="274"/>
      <c r="CM19" s="275" t="s">
        <v>102</v>
      </c>
      <c r="CN19" s="274"/>
      <c r="CO19" s="274"/>
      <c r="CP19" s="275" t="s">
        <v>164</v>
      </c>
      <c r="CQ19" s="274"/>
      <c r="CR19" s="274"/>
      <c r="CS19" s="274"/>
      <c r="CT19" s="275" t="s">
        <v>165</v>
      </c>
      <c r="CU19" s="274"/>
      <c r="CV19" s="274"/>
      <c r="CW19" s="276"/>
      <c r="DM19" s="273" t="s">
        <v>100</v>
      </c>
      <c r="DN19" s="274"/>
      <c r="DO19" s="274"/>
      <c r="DP19" s="275" t="s">
        <v>91</v>
      </c>
      <c r="DQ19" s="274"/>
      <c r="DR19" s="274"/>
      <c r="DS19" s="275" t="s">
        <v>101</v>
      </c>
      <c r="DT19" s="274"/>
      <c r="DU19" s="274"/>
      <c r="DV19" s="275" t="s">
        <v>102</v>
      </c>
      <c r="DW19" s="274"/>
      <c r="DX19" s="274"/>
      <c r="DY19" s="275" t="s">
        <v>164</v>
      </c>
      <c r="DZ19" s="274"/>
      <c r="EA19" s="274"/>
      <c r="EB19" s="274"/>
      <c r="EC19" s="275" t="s">
        <v>165</v>
      </c>
      <c r="ED19" s="274"/>
      <c r="EE19" s="274"/>
      <c r="EF19" s="276"/>
      <c r="EV19" s="273" t="s">
        <v>100</v>
      </c>
      <c r="EW19" s="274"/>
      <c r="EX19" s="274"/>
      <c r="EY19" s="275" t="s">
        <v>91</v>
      </c>
      <c r="EZ19" s="274"/>
      <c r="FA19" s="274"/>
      <c r="FB19" s="275" t="s">
        <v>101</v>
      </c>
      <c r="FC19" s="274"/>
      <c r="FD19" s="274"/>
      <c r="FE19" s="275" t="s">
        <v>102</v>
      </c>
      <c r="FF19" s="274"/>
      <c r="FG19" s="274"/>
      <c r="FH19" s="275" t="s">
        <v>164</v>
      </c>
      <c r="FI19" s="274"/>
      <c r="FJ19" s="274"/>
      <c r="FK19" s="274"/>
      <c r="FL19" s="275" t="s">
        <v>165</v>
      </c>
      <c r="FM19" s="274"/>
      <c r="FN19" s="274"/>
      <c r="FO19" s="276"/>
      <c r="GE19" s="273" t="s">
        <v>100</v>
      </c>
      <c r="GF19" s="274"/>
      <c r="GG19" s="274"/>
      <c r="GH19" s="275" t="s">
        <v>91</v>
      </c>
      <c r="GI19" s="274"/>
      <c r="GJ19" s="274"/>
      <c r="GK19" s="275" t="s">
        <v>101</v>
      </c>
      <c r="GL19" s="274"/>
      <c r="GM19" s="274"/>
      <c r="GN19" s="275" t="s">
        <v>102</v>
      </c>
      <c r="GO19" s="274"/>
      <c r="GP19" s="274"/>
      <c r="GQ19" s="275" t="s">
        <v>164</v>
      </c>
      <c r="GR19" s="274"/>
      <c r="GS19" s="274"/>
      <c r="GT19" s="274"/>
      <c r="GU19" s="275" t="s">
        <v>165</v>
      </c>
      <c r="GV19" s="274"/>
      <c r="GW19" s="274"/>
      <c r="GX19" s="276"/>
    </row>
    <row r="20" spans="6:206" ht="18.600000000000001" thickBot="1">
      <c r="L20" s="377" t="s">
        <v>103</v>
      </c>
      <c r="M20" s="183"/>
      <c r="N20" s="183"/>
      <c r="O20" s="370" t="s">
        <v>103</v>
      </c>
      <c r="P20" s="183"/>
      <c r="Q20" s="183"/>
      <c r="R20" s="370" t="s">
        <v>104</v>
      </c>
      <c r="S20" s="183"/>
      <c r="T20" s="183"/>
      <c r="U20" s="370" t="s">
        <v>104</v>
      </c>
      <c r="V20" s="183"/>
      <c r="W20" s="183"/>
      <c r="X20" s="370" t="s">
        <v>486</v>
      </c>
      <c r="Y20" s="183"/>
      <c r="Z20" s="183"/>
      <c r="AA20" s="371"/>
      <c r="AB20" s="370" t="s">
        <v>486</v>
      </c>
      <c r="AC20" s="183"/>
      <c r="AD20" s="183"/>
      <c r="AE20" s="371"/>
      <c r="AU20" s="377" t="s">
        <v>103</v>
      </c>
      <c r="AV20" s="183"/>
      <c r="AW20" s="183"/>
      <c r="AX20" s="370" t="s">
        <v>103</v>
      </c>
      <c r="AY20" s="183"/>
      <c r="AZ20" s="183"/>
      <c r="BA20" s="370" t="s">
        <v>104</v>
      </c>
      <c r="BB20" s="183"/>
      <c r="BC20" s="183"/>
      <c r="BD20" s="370" t="s">
        <v>104</v>
      </c>
      <c r="BE20" s="183"/>
      <c r="BF20" s="183"/>
      <c r="BG20" s="370" t="s">
        <v>486</v>
      </c>
      <c r="BH20" s="183"/>
      <c r="BI20" s="183"/>
      <c r="BJ20" s="371"/>
      <c r="BK20" s="370" t="s">
        <v>486</v>
      </c>
      <c r="BL20" s="183"/>
      <c r="BM20" s="183"/>
      <c r="BN20" s="371"/>
      <c r="CD20" s="377" t="s">
        <v>103</v>
      </c>
      <c r="CE20" s="183"/>
      <c r="CF20" s="183"/>
      <c r="CG20" s="370" t="s">
        <v>103</v>
      </c>
      <c r="CH20" s="183"/>
      <c r="CI20" s="183"/>
      <c r="CJ20" s="370" t="s">
        <v>104</v>
      </c>
      <c r="CK20" s="183"/>
      <c r="CL20" s="183"/>
      <c r="CM20" s="370" t="s">
        <v>104</v>
      </c>
      <c r="CN20" s="183"/>
      <c r="CO20" s="183"/>
      <c r="CP20" s="370" t="s">
        <v>486</v>
      </c>
      <c r="CQ20" s="183"/>
      <c r="CR20" s="183"/>
      <c r="CS20" s="371"/>
      <c r="CT20" s="370" t="s">
        <v>486</v>
      </c>
      <c r="CU20" s="183"/>
      <c r="CV20" s="183"/>
      <c r="CW20" s="371"/>
      <c r="DM20" s="377" t="s">
        <v>103</v>
      </c>
      <c r="DN20" s="183"/>
      <c r="DO20" s="183"/>
      <c r="DP20" s="370" t="s">
        <v>103</v>
      </c>
      <c r="DQ20" s="183"/>
      <c r="DR20" s="183"/>
      <c r="DS20" s="370" t="s">
        <v>104</v>
      </c>
      <c r="DT20" s="183"/>
      <c r="DU20" s="183"/>
      <c r="DV20" s="370" t="s">
        <v>104</v>
      </c>
      <c r="DW20" s="183"/>
      <c r="DX20" s="183"/>
      <c r="DY20" s="370" t="s">
        <v>486</v>
      </c>
      <c r="DZ20" s="183"/>
      <c r="EA20" s="183"/>
      <c r="EB20" s="371"/>
      <c r="EC20" s="370" t="s">
        <v>486</v>
      </c>
      <c r="ED20" s="183"/>
      <c r="EE20" s="183"/>
      <c r="EF20" s="371"/>
      <c r="EV20" s="377" t="s">
        <v>103</v>
      </c>
      <c r="EW20" s="183"/>
      <c r="EX20" s="183"/>
      <c r="EY20" s="370" t="s">
        <v>103</v>
      </c>
      <c r="EZ20" s="183"/>
      <c r="FA20" s="183"/>
      <c r="FB20" s="370" t="s">
        <v>104</v>
      </c>
      <c r="FC20" s="183"/>
      <c r="FD20" s="183"/>
      <c r="FE20" s="370" t="s">
        <v>104</v>
      </c>
      <c r="FF20" s="183"/>
      <c r="FG20" s="183"/>
      <c r="FH20" s="370" t="s">
        <v>486</v>
      </c>
      <c r="FI20" s="183"/>
      <c r="FJ20" s="183"/>
      <c r="FK20" s="371"/>
      <c r="FL20" s="370" t="s">
        <v>486</v>
      </c>
      <c r="FM20" s="183"/>
      <c r="FN20" s="183"/>
      <c r="FO20" s="371"/>
      <c r="GE20" s="377" t="s">
        <v>103</v>
      </c>
      <c r="GF20" s="183"/>
      <c r="GG20" s="183"/>
      <c r="GH20" s="370" t="s">
        <v>103</v>
      </c>
      <c r="GI20" s="183"/>
      <c r="GJ20" s="183"/>
      <c r="GK20" s="370" t="s">
        <v>104</v>
      </c>
      <c r="GL20" s="183"/>
      <c r="GM20" s="183"/>
      <c r="GN20" s="370" t="s">
        <v>104</v>
      </c>
      <c r="GO20" s="183"/>
      <c r="GP20" s="183"/>
      <c r="GQ20" s="370" t="s">
        <v>486</v>
      </c>
      <c r="GR20" s="183"/>
      <c r="GS20" s="183"/>
      <c r="GT20" s="371"/>
      <c r="GU20" s="370" t="s">
        <v>486</v>
      </c>
      <c r="GV20" s="183"/>
      <c r="GW20" s="183"/>
      <c r="GX20" s="371"/>
    </row>
    <row r="21" spans="6:206">
      <c r="F21" s="82" t="s">
        <v>255</v>
      </c>
      <c r="G21" s="83"/>
      <c r="H21" s="84"/>
      <c r="I21" s="83">
        <f>'3.照査'!$G$7</f>
        <v>6</v>
      </c>
      <c r="J21" s="372" t="str">
        <f>'3.照査'!$H$7</f>
        <v>段目</v>
      </c>
      <c r="K21" s="372"/>
      <c r="L21" s="373">
        <f>'3.照査'!$J$7</f>
        <v>20.239999999999995</v>
      </c>
      <c r="M21" s="374"/>
      <c r="N21" s="375"/>
      <c r="O21" s="374"/>
      <c r="P21" s="374"/>
      <c r="Q21" s="374"/>
      <c r="R21" s="373">
        <f>U8</f>
        <v>0.71000000000000008</v>
      </c>
      <c r="S21" s="374"/>
      <c r="T21" s="375"/>
      <c r="U21" s="374"/>
      <c r="V21" s="374"/>
      <c r="W21" s="374"/>
      <c r="X21" s="373">
        <f>L21*R21</f>
        <v>14.370399999999998</v>
      </c>
      <c r="Y21" s="374"/>
      <c r="Z21" s="374"/>
      <c r="AA21" s="375"/>
      <c r="AB21" s="373"/>
      <c r="AC21" s="374"/>
      <c r="AD21" s="374"/>
      <c r="AE21" s="376"/>
      <c r="AO21" s="82" t="s">
        <v>255</v>
      </c>
      <c r="AP21" s="83"/>
      <c r="AQ21" s="84"/>
      <c r="AR21" s="83">
        <f>'3.照査'!$G$7</f>
        <v>6</v>
      </c>
      <c r="AS21" s="372" t="str">
        <f>'3.照査'!$H$7</f>
        <v>段目</v>
      </c>
      <c r="AT21" s="372"/>
      <c r="AU21" s="373">
        <f>'3.照査'!$J$7</f>
        <v>20.239999999999995</v>
      </c>
      <c r="AV21" s="374"/>
      <c r="AW21" s="375"/>
      <c r="AX21" s="374"/>
      <c r="AY21" s="374"/>
      <c r="AZ21" s="374"/>
      <c r="BA21" s="373">
        <f>BD8</f>
        <v>1.1100000000000001</v>
      </c>
      <c r="BB21" s="374"/>
      <c r="BC21" s="375"/>
      <c r="BD21" s="374"/>
      <c r="BE21" s="374"/>
      <c r="BF21" s="374"/>
      <c r="BG21" s="373">
        <f>AU21*BA21</f>
        <v>22.466399999999997</v>
      </c>
      <c r="BH21" s="374"/>
      <c r="BI21" s="374"/>
      <c r="BJ21" s="375"/>
      <c r="BK21" s="373"/>
      <c r="BL21" s="374"/>
      <c r="BM21" s="374"/>
      <c r="BN21" s="376"/>
      <c r="BX21" s="82" t="s">
        <v>255</v>
      </c>
      <c r="BY21" s="83"/>
      <c r="BZ21" s="84"/>
      <c r="CA21" s="83">
        <f>'3.照査'!$G$7</f>
        <v>6</v>
      </c>
      <c r="CB21" s="372" t="str">
        <f>'3.照査'!$H$7</f>
        <v>段目</v>
      </c>
      <c r="CC21" s="372"/>
      <c r="CD21" s="373">
        <f>'3.照査'!$J$7</f>
        <v>20.239999999999995</v>
      </c>
      <c r="CE21" s="374"/>
      <c r="CF21" s="375"/>
      <c r="CG21" s="374"/>
      <c r="CH21" s="374"/>
      <c r="CI21" s="374"/>
      <c r="CJ21" s="373">
        <f>CM8</f>
        <v>1.5100000000000002</v>
      </c>
      <c r="CK21" s="374"/>
      <c r="CL21" s="375"/>
      <c r="CM21" s="374"/>
      <c r="CN21" s="374"/>
      <c r="CO21" s="374"/>
      <c r="CP21" s="373">
        <f>CD21*CJ21</f>
        <v>30.562399999999997</v>
      </c>
      <c r="CQ21" s="374"/>
      <c r="CR21" s="374"/>
      <c r="CS21" s="375"/>
      <c r="CT21" s="373"/>
      <c r="CU21" s="374"/>
      <c r="CV21" s="374"/>
      <c r="CW21" s="376"/>
      <c r="DG21" s="82" t="s">
        <v>255</v>
      </c>
      <c r="DH21" s="83"/>
      <c r="DI21" s="84"/>
      <c r="DJ21" s="83">
        <f>'3.照査'!$G$7</f>
        <v>6</v>
      </c>
      <c r="DK21" s="372" t="str">
        <f>'3.照査'!$H$7</f>
        <v>段目</v>
      </c>
      <c r="DL21" s="372"/>
      <c r="DM21" s="373">
        <f>'3.照査'!$J$7</f>
        <v>20.239999999999995</v>
      </c>
      <c r="DN21" s="374"/>
      <c r="DO21" s="375"/>
      <c r="DP21" s="374"/>
      <c r="DQ21" s="374"/>
      <c r="DR21" s="374"/>
      <c r="DS21" s="373">
        <f>DV8</f>
        <v>1.9100000000000001</v>
      </c>
      <c r="DT21" s="374"/>
      <c r="DU21" s="375"/>
      <c r="DV21" s="374"/>
      <c r="DW21" s="374"/>
      <c r="DX21" s="374"/>
      <c r="DY21" s="373">
        <f>DM21*DS21</f>
        <v>38.658399999999993</v>
      </c>
      <c r="DZ21" s="374"/>
      <c r="EA21" s="374"/>
      <c r="EB21" s="375"/>
      <c r="EC21" s="373"/>
      <c r="ED21" s="374"/>
      <c r="EE21" s="374"/>
      <c r="EF21" s="376"/>
      <c r="EP21" s="82" t="s">
        <v>367</v>
      </c>
      <c r="EQ21" s="83"/>
      <c r="ER21" s="84"/>
      <c r="ES21" s="83">
        <f>'3.照査'!$G$7</f>
        <v>6</v>
      </c>
      <c r="ET21" s="372" t="str">
        <f>'3.照査'!$H$7</f>
        <v>段目</v>
      </c>
      <c r="EU21" s="372"/>
      <c r="EV21" s="373">
        <f>'3.照査'!$J$7</f>
        <v>20.239999999999995</v>
      </c>
      <c r="EW21" s="374"/>
      <c r="EX21" s="375"/>
      <c r="EY21" s="374"/>
      <c r="EZ21" s="374"/>
      <c r="FA21" s="374"/>
      <c r="FB21" s="373">
        <f>FE8</f>
        <v>2.31</v>
      </c>
      <c r="FC21" s="374"/>
      <c r="FD21" s="375"/>
      <c r="FE21" s="374"/>
      <c r="FF21" s="374"/>
      <c r="FG21" s="374"/>
      <c r="FH21" s="373">
        <f>EV21*FB21</f>
        <v>46.75439999999999</v>
      </c>
      <c r="FI21" s="374"/>
      <c r="FJ21" s="374"/>
      <c r="FK21" s="375"/>
      <c r="FL21" s="373"/>
      <c r="FM21" s="374"/>
      <c r="FN21" s="374"/>
      <c r="FO21" s="376"/>
      <c r="FY21" s="82" t="s">
        <v>255</v>
      </c>
      <c r="FZ21" s="83"/>
      <c r="GA21" s="84"/>
      <c r="GB21" s="83">
        <f>'3.照査'!$G$7</f>
        <v>6</v>
      </c>
      <c r="GC21" s="372" t="str">
        <f>'3.照査'!$H$7</f>
        <v>段目</v>
      </c>
      <c r="GD21" s="372"/>
      <c r="GE21" s="373">
        <f>'3.照査'!$J$7</f>
        <v>20.239999999999995</v>
      </c>
      <c r="GF21" s="374"/>
      <c r="GG21" s="375"/>
      <c r="GH21" s="374"/>
      <c r="GI21" s="374"/>
      <c r="GJ21" s="374"/>
      <c r="GK21" s="373">
        <f t="shared" ref="GK21:GK26" si="11">GN8</f>
        <v>2.71</v>
      </c>
      <c r="GL21" s="374"/>
      <c r="GM21" s="375"/>
      <c r="GN21" s="374"/>
      <c r="GO21" s="374"/>
      <c r="GP21" s="374"/>
      <c r="GQ21" s="373">
        <f>GE21*GK21</f>
        <v>54.850399999999986</v>
      </c>
      <c r="GR21" s="374"/>
      <c r="GS21" s="374"/>
      <c r="GT21" s="375"/>
      <c r="GU21" s="373"/>
      <c r="GV21" s="374"/>
      <c r="GW21" s="374"/>
      <c r="GX21" s="376"/>
    </row>
    <row r="22" spans="6:206">
      <c r="F22" s="85"/>
      <c r="H22" s="6"/>
      <c r="J22" s="234"/>
      <c r="K22" s="234"/>
      <c r="L22" s="362"/>
      <c r="M22" s="363"/>
      <c r="N22" s="364"/>
      <c r="O22" s="363"/>
      <c r="P22" s="363"/>
      <c r="Q22" s="363"/>
      <c r="R22" s="362"/>
      <c r="S22" s="363"/>
      <c r="T22" s="364"/>
      <c r="U22" s="363"/>
      <c r="V22" s="363"/>
      <c r="W22" s="363"/>
      <c r="X22" s="362"/>
      <c r="Y22" s="363"/>
      <c r="Z22" s="363"/>
      <c r="AA22" s="364"/>
      <c r="AB22" s="362"/>
      <c r="AC22" s="363"/>
      <c r="AD22" s="363"/>
      <c r="AE22" s="365"/>
      <c r="AO22" s="85"/>
      <c r="AQ22" s="6"/>
      <c r="AR22">
        <f>'3.照査'!$G$8</f>
        <v>5</v>
      </c>
      <c r="AS22" s="234" t="str">
        <f>'3.照査'!$H$8</f>
        <v>段目</v>
      </c>
      <c r="AT22" s="234"/>
      <c r="AU22" s="362">
        <f>'3.照査'!$J$8</f>
        <v>25.3</v>
      </c>
      <c r="AV22" s="363"/>
      <c r="AW22" s="364"/>
      <c r="AX22" s="363"/>
      <c r="AY22" s="363"/>
      <c r="AZ22" s="363"/>
      <c r="BA22" s="362">
        <f>BD9</f>
        <v>0.75</v>
      </c>
      <c r="BB22" s="363"/>
      <c r="BC22" s="364"/>
      <c r="BD22" s="363"/>
      <c r="BE22" s="363"/>
      <c r="BF22" s="363"/>
      <c r="BG22" s="362">
        <f>AU22*BA22</f>
        <v>18.975000000000001</v>
      </c>
      <c r="BH22" s="363"/>
      <c r="BI22" s="363"/>
      <c r="BJ22" s="364"/>
      <c r="BK22" s="362"/>
      <c r="BL22" s="363"/>
      <c r="BM22" s="363"/>
      <c r="BN22" s="365"/>
      <c r="BX22" s="85"/>
      <c r="BZ22" s="6"/>
      <c r="CA22">
        <f>'3.照査'!$G$8</f>
        <v>5</v>
      </c>
      <c r="CB22" s="234" t="str">
        <f>'3.照査'!$H$8</f>
        <v>段目</v>
      </c>
      <c r="CC22" s="234"/>
      <c r="CD22" s="362">
        <f>'3.照査'!$J$8</f>
        <v>25.3</v>
      </c>
      <c r="CE22" s="363"/>
      <c r="CF22" s="364"/>
      <c r="CG22" s="363"/>
      <c r="CH22" s="363"/>
      <c r="CI22" s="363"/>
      <c r="CJ22" s="362">
        <f>CM9</f>
        <v>1.1499999999999999</v>
      </c>
      <c r="CK22" s="363"/>
      <c r="CL22" s="364"/>
      <c r="CM22" s="363"/>
      <c r="CN22" s="363"/>
      <c r="CO22" s="363"/>
      <c r="CP22" s="362">
        <f>CD22*CJ22</f>
        <v>29.094999999999999</v>
      </c>
      <c r="CQ22" s="363"/>
      <c r="CR22" s="363"/>
      <c r="CS22" s="364"/>
      <c r="CT22" s="362"/>
      <c r="CU22" s="363"/>
      <c r="CV22" s="363"/>
      <c r="CW22" s="365"/>
      <c r="DG22" s="85"/>
      <c r="DI22" s="6"/>
      <c r="DJ22">
        <f>'3.照査'!$G$8</f>
        <v>5</v>
      </c>
      <c r="DK22" s="234" t="str">
        <f>'3.照査'!$H$8</f>
        <v>段目</v>
      </c>
      <c r="DL22" s="234"/>
      <c r="DM22" s="362">
        <f>'3.照査'!$J$8</f>
        <v>25.3</v>
      </c>
      <c r="DN22" s="363"/>
      <c r="DO22" s="364"/>
      <c r="DP22" s="363"/>
      <c r="DQ22" s="363"/>
      <c r="DR22" s="363"/>
      <c r="DS22" s="362">
        <f>DV9</f>
        <v>1.55</v>
      </c>
      <c r="DT22" s="363"/>
      <c r="DU22" s="364"/>
      <c r="DV22" s="363"/>
      <c r="DW22" s="363"/>
      <c r="DX22" s="363"/>
      <c r="DY22" s="362">
        <f>DM22*DS22</f>
        <v>39.215000000000003</v>
      </c>
      <c r="DZ22" s="363"/>
      <c r="EA22" s="363"/>
      <c r="EB22" s="364"/>
      <c r="EC22" s="362"/>
      <c r="ED22" s="363"/>
      <c r="EE22" s="363"/>
      <c r="EF22" s="365"/>
      <c r="EP22" s="85"/>
      <c r="ER22" s="6"/>
      <c r="ES22">
        <f>'3.照査'!$G$8</f>
        <v>5</v>
      </c>
      <c r="ET22" s="234" t="str">
        <f>'3.照査'!$H$8</f>
        <v>段目</v>
      </c>
      <c r="EU22" s="234"/>
      <c r="EV22" s="362">
        <f>'3.照査'!$J$8</f>
        <v>25.3</v>
      </c>
      <c r="EW22" s="363"/>
      <c r="EX22" s="364"/>
      <c r="EY22" s="363"/>
      <c r="EZ22" s="363"/>
      <c r="FA22" s="363"/>
      <c r="FB22" s="362">
        <f>FE9</f>
        <v>1.9500000000000002</v>
      </c>
      <c r="FC22" s="363"/>
      <c r="FD22" s="364"/>
      <c r="FE22" s="363"/>
      <c r="FF22" s="363"/>
      <c r="FG22" s="363"/>
      <c r="FH22" s="362">
        <f>EV22*FB22</f>
        <v>49.335000000000008</v>
      </c>
      <c r="FI22" s="363"/>
      <c r="FJ22" s="363"/>
      <c r="FK22" s="364"/>
      <c r="FL22" s="362"/>
      <c r="FM22" s="363"/>
      <c r="FN22" s="363"/>
      <c r="FO22" s="365"/>
      <c r="FY22" s="85"/>
      <c r="GA22" s="6"/>
      <c r="GB22">
        <f>'3.照査'!$G$8</f>
        <v>5</v>
      </c>
      <c r="GC22" s="234" t="str">
        <f>'3.照査'!$H$8</f>
        <v>段目</v>
      </c>
      <c r="GD22" s="234"/>
      <c r="GE22" s="362">
        <f>'3.照査'!$J$8</f>
        <v>25.3</v>
      </c>
      <c r="GF22" s="363"/>
      <c r="GG22" s="364"/>
      <c r="GH22" s="363"/>
      <c r="GI22" s="363"/>
      <c r="GJ22" s="363"/>
      <c r="GK22" s="362">
        <f t="shared" si="11"/>
        <v>2.35</v>
      </c>
      <c r="GL22" s="363"/>
      <c r="GM22" s="364"/>
      <c r="GN22" s="363"/>
      <c r="GO22" s="363"/>
      <c r="GP22" s="363"/>
      <c r="GQ22" s="362">
        <f>GE22*GK22</f>
        <v>59.455000000000005</v>
      </c>
      <c r="GR22" s="363"/>
      <c r="GS22" s="363"/>
      <c r="GT22" s="364"/>
      <c r="GU22" s="362"/>
      <c r="GV22" s="363"/>
      <c r="GW22" s="363"/>
      <c r="GX22" s="365"/>
    </row>
    <row r="23" spans="6:206">
      <c r="F23" s="85"/>
      <c r="H23" s="6"/>
      <c r="J23" s="234"/>
      <c r="K23" s="234"/>
      <c r="L23" s="362"/>
      <c r="M23" s="363"/>
      <c r="N23" s="364"/>
      <c r="O23" s="363"/>
      <c r="P23" s="363"/>
      <c r="Q23" s="363"/>
      <c r="R23" s="362"/>
      <c r="S23" s="363"/>
      <c r="T23" s="364"/>
      <c r="U23" s="363"/>
      <c r="V23" s="363"/>
      <c r="W23" s="363"/>
      <c r="X23" s="362"/>
      <c r="Y23" s="363"/>
      <c r="Z23" s="363"/>
      <c r="AA23" s="364"/>
      <c r="AB23" s="362"/>
      <c r="AC23" s="363"/>
      <c r="AD23" s="363"/>
      <c r="AE23" s="365"/>
      <c r="AO23" s="85"/>
      <c r="AQ23" s="6"/>
      <c r="AS23" s="234"/>
      <c r="AT23" s="234"/>
      <c r="AU23" s="362"/>
      <c r="AV23" s="363"/>
      <c r="AW23" s="364"/>
      <c r="AX23" s="363"/>
      <c r="AY23" s="363"/>
      <c r="AZ23" s="363"/>
      <c r="BA23" s="362"/>
      <c r="BB23" s="363"/>
      <c r="BC23" s="364"/>
      <c r="BD23" s="363"/>
      <c r="BE23" s="363"/>
      <c r="BF23" s="363"/>
      <c r="BG23" s="362"/>
      <c r="BH23" s="363"/>
      <c r="BI23" s="363"/>
      <c r="BJ23" s="364"/>
      <c r="BK23" s="362"/>
      <c r="BL23" s="363"/>
      <c r="BM23" s="363"/>
      <c r="BN23" s="365"/>
      <c r="BX23" s="85"/>
      <c r="BZ23" s="6"/>
      <c r="CA23">
        <f>'3.照査'!$G$9</f>
        <v>4</v>
      </c>
      <c r="CB23" s="234" t="str">
        <f>'3.照査'!$H$9</f>
        <v>段目</v>
      </c>
      <c r="CC23" s="234"/>
      <c r="CD23" s="362">
        <f>'3.照査'!$J$9</f>
        <v>25.3</v>
      </c>
      <c r="CE23" s="363"/>
      <c r="CF23" s="364"/>
      <c r="CG23" s="363"/>
      <c r="CH23" s="363"/>
      <c r="CI23" s="363"/>
      <c r="CJ23" s="362">
        <f>CM10</f>
        <v>0.75</v>
      </c>
      <c r="CK23" s="363"/>
      <c r="CL23" s="364"/>
      <c r="CM23" s="363"/>
      <c r="CN23" s="363"/>
      <c r="CO23" s="363"/>
      <c r="CP23" s="362">
        <f t="shared" ref="CP23" si="12">CD23*CJ23</f>
        <v>18.975000000000001</v>
      </c>
      <c r="CQ23" s="363"/>
      <c r="CR23" s="363"/>
      <c r="CS23" s="364"/>
      <c r="CT23" s="362"/>
      <c r="CU23" s="363"/>
      <c r="CV23" s="363"/>
      <c r="CW23" s="365"/>
      <c r="DG23" s="85"/>
      <c r="DI23" s="6"/>
      <c r="DJ23">
        <f>'3.照査'!$G$9</f>
        <v>4</v>
      </c>
      <c r="DK23" s="234" t="str">
        <f>'3.照査'!$H$9</f>
        <v>段目</v>
      </c>
      <c r="DL23" s="234"/>
      <c r="DM23" s="362">
        <f>'3.照査'!$J$9</f>
        <v>25.3</v>
      </c>
      <c r="DN23" s="363"/>
      <c r="DO23" s="364"/>
      <c r="DP23" s="363"/>
      <c r="DQ23" s="363"/>
      <c r="DR23" s="363"/>
      <c r="DS23" s="362">
        <f>DV10</f>
        <v>1.1499999999999999</v>
      </c>
      <c r="DT23" s="363"/>
      <c r="DU23" s="364"/>
      <c r="DV23" s="363"/>
      <c r="DW23" s="363"/>
      <c r="DX23" s="363"/>
      <c r="DY23" s="362">
        <f t="shared" ref="DY23:DY24" si="13">DM23*DS23</f>
        <v>29.094999999999999</v>
      </c>
      <c r="DZ23" s="363"/>
      <c r="EA23" s="363"/>
      <c r="EB23" s="364"/>
      <c r="EC23" s="362"/>
      <c r="ED23" s="363"/>
      <c r="EE23" s="363"/>
      <c r="EF23" s="365"/>
      <c r="EP23" s="85"/>
      <c r="ER23" s="6"/>
      <c r="ES23">
        <f>'3.照査'!$G$9</f>
        <v>4</v>
      </c>
      <c r="ET23" s="234" t="str">
        <f>'3.照査'!$H$9</f>
        <v>段目</v>
      </c>
      <c r="EU23" s="234"/>
      <c r="EV23" s="362">
        <f>'3.照査'!$J$9</f>
        <v>25.3</v>
      </c>
      <c r="EW23" s="363"/>
      <c r="EX23" s="364"/>
      <c r="EY23" s="363"/>
      <c r="EZ23" s="363"/>
      <c r="FA23" s="363"/>
      <c r="FB23" s="362">
        <f>FE10</f>
        <v>1.55</v>
      </c>
      <c r="FC23" s="363"/>
      <c r="FD23" s="364"/>
      <c r="FE23" s="363"/>
      <c r="FF23" s="363"/>
      <c r="FG23" s="363"/>
      <c r="FH23" s="362">
        <f t="shared" ref="FH23:FH25" si="14">EV23*FB23</f>
        <v>39.215000000000003</v>
      </c>
      <c r="FI23" s="363"/>
      <c r="FJ23" s="363"/>
      <c r="FK23" s="364"/>
      <c r="FL23" s="362"/>
      <c r="FM23" s="363"/>
      <c r="FN23" s="363"/>
      <c r="FO23" s="365"/>
      <c r="FY23" s="85"/>
      <c r="GA23" s="6"/>
      <c r="GB23">
        <f>'3.照査'!$G$9</f>
        <v>4</v>
      </c>
      <c r="GC23" s="234" t="str">
        <f>'3.照査'!$H$9</f>
        <v>段目</v>
      </c>
      <c r="GD23" s="234"/>
      <c r="GE23" s="362">
        <f>'3.照査'!$J$9</f>
        <v>25.3</v>
      </c>
      <c r="GF23" s="363"/>
      <c r="GG23" s="364"/>
      <c r="GH23" s="363"/>
      <c r="GI23" s="363"/>
      <c r="GJ23" s="363"/>
      <c r="GK23" s="362">
        <f t="shared" si="11"/>
        <v>1.9500000000000002</v>
      </c>
      <c r="GL23" s="363"/>
      <c r="GM23" s="364"/>
      <c r="GN23" s="363"/>
      <c r="GO23" s="363"/>
      <c r="GP23" s="363"/>
      <c r="GQ23" s="362">
        <f t="shared" ref="GQ23:GQ25" si="15">GE23*GK23</f>
        <v>49.335000000000008</v>
      </c>
      <c r="GR23" s="363"/>
      <c r="GS23" s="363"/>
      <c r="GT23" s="364"/>
      <c r="GU23" s="362"/>
      <c r="GV23" s="363"/>
      <c r="GW23" s="363"/>
      <c r="GX23" s="365"/>
    </row>
    <row r="24" spans="6:206">
      <c r="F24" s="85"/>
      <c r="H24" s="6"/>
      <c r="J24" s="234"/>
      <c r="K24" s="234"/>
      <c r="L24" s="362"/>
      <c r="M24" s="363"/>
      <c r="N24" s="364"/>
      <c r="O24" s="363"/>
      <c r="P24" s="363"/>
      <c r="Q24" s="363"/>
      <c r="R24" s="362"/>
      <c r="S24" s="363"/>
      <c r="T24" s="364"/>
      <c r="U24" s="363"/>
      <c r="V24" s="363"/>
      <c r="W24" s="363"/>
      <c r="X24" s="362"/>
      <c r="Y24" s="363"/>
      <c r="Z24" s="363"/>
      <c r="AA24" s="364"/>
      <c r="AB24" s="362"/>
      <c r="AC24" s="363"/>
      <c r="AD24" s="363"/>
      <c r="AE24" s="365"/>
      <c r="AO24" s="85"/>
      <c r="AQ24" s="6"/>
      <c r="AS24" s="234"/>
      <c r="AT24" s="234"/>
      <c r="AU24" s="362"/>
      <c r="AV24" s="363"/>
      <c r="AW24" s="364"/>
      <c r="AX24" s="363"/>
      <c r="AY24" s="363"/>
      <c r="AZ24" s="363"/>
      <c r="BA24" s="362"/>
      <c r="BB24" s="363"/>
      <c r="BC24" s="364"/>
      <c r="BD24" s="363"/>
      <c r="BE24" s="363"/>
      <c r="BF24" s="363"/>
      <c r="BG24" s="362"/>
      <c r="BH24" s="363"/>
      <c r="BI24" s="363"/>
      <c r="BJ24" s="364"/>
      <c r="BK24" s="362"/>
      <c r="BL24" s="363"/>
      <c r="BM24" s="363"/>
      <c r="BN24" s="365"/>
      <c r="BX24" s="85"/>
      <c r="BZ24" s="6"/>
      <c r="CB24" s="234"/>
      <c r="CC24" s="234"/>
      <c r="CD24" s="362"/>
      <c r="CE24" s="363"/>
      <c r="CF24" s="364"/>
      <c r="CG24" s="363"/>
      <c r="CH24" s="363"/>
      <c r="CI24" s="363"/>
      <c r="CJ24" s="362"/>
      <c r="CK24" s="363"/>
      <c r="CL24" s="364"/>
      <c r="CM24" s="363"/>
      <c r="CN24" s="363"/>
      <c r="CO24" s="363"/>
      <c r="CP24" s="362"/>
      <c r="CQ24" s="363"/>
      <c r="CR24" s="363"/>
      <c r="CS24" s="364"/>
      <c r="CT24" s="362"/>
      <c r="CU24" s="363"/>
      <c r="CV24" s="363"/>
      <c r="CW24" s="365"/>
      <c r="DG24" s="85"/>
      <c r="DI24" s="6"/>
      <c r="DJ24">
        <f>'3.照査'!$G$10</f>
        <v>3</v>
      </c>
      <c r="DK24" s="234" t="str">
        <f>'3.照査'!$H$10</f>
        <v>段目</v>
      </c>
      <c r="DL24" s="234"/>
      <c r="DM24" s="362">
        <f>'3.照査'!$J$10</f>
        <v>25.3</v>
      </c>
      <c r="DN24" s="363"/>
      <c r="DO24" s="364"/>
      <c r="DP24" s="363"/>
      <c r="DQ24" s="363"/>
      <c r="DR24" s="363"/>
      <c r="DS24" s="362">
        <f>DV11</f>
        <v>0.75</v>
      </c>
      <c r="DT24" s="363"/>
      <c r="DU24" s="364"/>
      <c r="DV24" s="363"/>
      <c r="DW24" s="363"/>
      <c r="DX24" s="363"/>
      <c r="DY24" s="362">
        <f t="shared" si="13"/>
        <v>18.975000000000001</v>
      </c>
      <c r="DZ24" s="363"/>
      <c r="EA24" s="363"/>
      <c r="EB24" s="364"/>
      <c r="EC24" s="362"/>
      <c r="ED24" s="363"/>
      <c r="EE24" s="363"/>
      <c r="EF24" s="365"/>
      <c r="EP24" s="85"/>
      <c r="ER24" s="6"/>
      <c r="ES24">
        <f>'3.照査'!$G$10</f>
        <v>3</v>
      </c>
      <c r="ET24" s="234" t="str">
        <f>'3.照査'!$H$10</f>
        <v>段目</v>
      </c>
      <c r="EU24" s="234"/>
      <c r="EV24" s="362">
        <f>'3.照査'!$J$10</f>
        <v>25.3</v>
      </c>
      <c r="EW24" s="363"/>
      <c r="EX24" s="364"/>
      <c r="EY24" s="363"/>
      <c r="EZ24" s="363"/>
      <c r="FA24" s="363"/>
      <c r="FB24" s="362">
        <f>FE11</f>
        <v>1.1499999999999999</v>
      </c>
      <c r="FC24" s="363"/>
      <c r="FD24" s="364"/>
      <c r="FE24" s="363"/>
      <c r="FF24" s="363"/>
      <c r="FG24" s="363"/>
      <c r="FH24" s="362">
        <f t="shared" si="14"/>
        <v>29.094999999999999</v>
      </c>
      <c r="FI24" s="363"/>
      <c r="FJ24" s="363"/>
      <c r="FK24" s="364"/>
      <c r="FL24" s="362"/>
      <c r="FM24" s="363"/>
      <c r="FN24" s="363"/>
      <c r="FO24" s="365"/>
      <c r="FY24" s="85"/>
      <c r="GA24" s="6"/>
      <c r="GB24">
        <f>'3.照査'!$G$10</f>
        <v>3</v>
      </c>
      <c r="GC24" s="234" t="str">
        <f>'3.照査'!$H$10</f>
        <v>段目</v>
      </c>
      <c r="GD24" s="234"/>
      <c r="GE24" s="362">
        <f>'3.照査'!$J$10</f>
        <v>25.3</v>
      </c>
      <c r="GF24" s="363"/>
      <c r="GG24" s="364"/>
      <c r="GH24" s="363"/>
      <c r="GI24" s="363"/>
      <c r="GJ24" s="363"/>
      <c r="GK24" s="362">
        <f t="shared" si="11"/>
        <v>1.55</v>
      </c>
      <c r="GL24" s="363"/>
      <c r="GM24" s="364"/>
      <c r="GN24" s="363"/>
      <c r="GO24" s="363"/>
      <c r="GP24" s="363"/>
      <c r="GQ24" s="362">
        <f t="shared" si="15"/>
        <v>39.215000000000003</v>
      </c>
      <c r="GR24" s="363"/>
      <c r="GS24" s="363"/>
      <c r="GT24" s="364"/>
      <c r="GU24" s="362"/>
      <c r="GV24" s="363"/>
      <c r="GW24" s="363"/>
      <c r="GX24" s="365"/>
    </row>
    <row r="25" spans="6:206">
      <c r="F25" s="85"/>
      <c r="H25" s="6"/>
      <c r="J25" s="234"/>
      <c r="K25" s="234"/>
      <c r="L25" s="362"/>
      <c r="M25" s="363"/>
      <c r="N25" s="364"/>
      <c r="O25" s="363"/>
      <c r="P25" s="363"/>
      <c r="Q25" s="363"/>
      <c r="R25" s="362"/>
      <c r="S25" s="363"/>
      <c r="T25" s="364"/>
      <c r="U25" s="363"/>
      <c r="V25" s="363"/>
      <c r="W25" s="363"/>
      <c r="X25" s="362"/>
      <c r="Y25" s="363"/>
      <c r="Z25" s="363"/>
      <c r="AA25" s="364"/>
      <c r="AB25" s="362"/>
      <c r="AC25" s="363"/>
      <c r="AD25" s="363"/>
      <c r="AE25" s="365"/>
      <c r="AO25" s="85"/>
      <c r="AQ25" s="6"/>
      <c r="AS25" s="234"/>
      <c r="AT25" s="234"/>
      <c r="AU25" s="362"/>
      <c r="AV25" s="363"/>
      <c r="AW25" s="364"/>
      <c r="AX25" s="363"/>
      <c r="AY25" s="363"/>
      <c r="AZ25" s="363"/>
      <c r="BA25" s="362"/>
      <c r="BB25" s="363"/>
      <c r="BC25" s="364"/>
      <c r="BD25" s="363"/>
      <c r="BE25" s="363"/>
      <c r="BF25" s="363"/>
      <c r="BG25" s="362"/>
      <c r="BH25" s="363"/>
      <c r="BI25" s="363"/>
      <c r="BJ25" s="364"/>
      <c r="BK25" s="362"/>
      <c r="BL25" s="363"/>
      <c r="BM25" s="363"/>
      <c r="BN25" s="365"/>
      <c r="BX25" s="85"/>
      <c r="BZ25" s="6"/>
      <c r="CB25" s="234"/>
      <c r="CC25" s="234"/>
      <c r="CD25" s="362"/>
      <c r="CE25" s="363"/>
      <c r="CF25" s="364"/>
      <c r="CG25" s="363"/>
      <c r="CH25" s="363"/>
      <c r="CI25" s="363"/>
      <c r="CJ25" s="362"/>
      <c r="CK25" s="363"/>
      <c r="CL25" s="364"/>
      <c r="CM25" s="363"/>
      <c r="CN25" s="363"/>
      <c r="CO25" s="363"/>
      <c r="CP25" s="362"/>
      <c r="CQ25" s="363"/>
      <c r="CR25" s="363"/>
      <c r="CS25" s="364"/>
      <c r="CT25" s="362"/>
      <c r="CU25" s="363"/>
      <c r="CV25" s="363"/>
      <c r="CW25" s="365"/>
      <c r="DG25" s="85"/>
      <c r="DI25" s="6"/>
      <c r="DK25" s="234"/>
      <c r="DL25" s="234"/>
      <c r="DM25" s="362"/>
      <c r="DN25" s="363"/>
      <c r="DO25" s="364"/>
      <c r="DP25" s="363"/>
      <c r="DQ25" s="363"/>
      <c r="DR25" s="363"/>
      <c r="DS25" s="362"/>
      <c r="DT25" s="363"/>
      <c r="DU25" s="364"/>
      <c r="DV25" s="363"/>
      <c r="DW25" s="363"/>
      <c r="DX25" s="363"/>
      <c r="DY25" s="362"/>
      <c r="DZ25" s="363"/>
      <c r="EA25" s="363"/>
      <c r="EB25" s="364"/>
      <c r="EC25" s="362"/>
      <c r="ED25" s="363"/>
      <c r="EE25" s="363"/>
      <c r="EF25" s="365"/>
      <c r="EP25" s="85"/>
      <c r="ER25" s="6"/>
      <c r="ES25">
        <f>'3.照査'!$G$11</f>
        <v>2</v>
      </c>
      <c r="ET25" s="234" t="str">
        <f>'3.照査'!$H$11</f>
        <v>段目</v>
      </c>
      <c r="EU25" s="234"/>
      <c r="EV25" s="362">
        <f>'3.照査'!$J$11</f>
        <v>25.3</v>
      </c>
      <c r="EW25" s="363"/>
      <c r="EX25" s="364"/>
      <c r="EY25" s="363"/>
      <c r="EZ25" s="363"/>
      <c r="FA25" s="363"/>
      <c r="FB25" s="362">
        <f>FE12</f>
        <v>0.75</v>
      </c>
      <c r="FC25" s="363"/>
      <c r="FD25" s="364"/>
      <c r="FE25" s="363"/>
      <c r="FF25" s="363"/>
      <c r="FG25" s="363"/>
      <c r="FH25" s="362">
        <f t="shared" si="14"/>
        <v>18.975000000000001</v>
      </c>
      <c r="FI25" s="363"/>
      <c r="FJ25" s="363"/>
      <c r="FK25" s="364"/>
      <c r="FL25" s="362"/>
      <c r="FM25" s="363"/>
      <c r="FN25" s="363"/>
      <c r="FO25" s="365"/>
      <c r="FY25" s="85"/>
      <c r="GA25" s="6"/>
      <c r="GB25">
        <f>'3.照査'!$G$11</f>
        <v>2</v>
      </c>
      <c r="GC25" s="234" t="str">
        <f>'3.照査'!$H$11</f>
        <v>段目</v>
      </c>
      <c r="GD25" s="234"/>
      <c r="GE25" s="362">
        <f>'3.照査'!$J$11</f>
        <v>25.3</v>
      </c>
      <c r="GF25" s="363"/>
      <c r="GG25" s="364"/>
      <c r="GH25" s="363"/>
      <c r="GI25" s="363"/>
      <c r="GJ25" s="363"/>
      <c r="GK25" s="362">
        <f t="shared" si="11"/>
        <v>1.1499999999999999</v>
      </c>
      <c r="GL25" s="363"/>
      <c r="GM25" s="364"/>
      <c r="GN25" s="363"/>
      <c r="GO25" s="363"/>
      <c r="GP25" s="363"/>
      <c r="GQ25" s="362">
        <f t="shared" si="15"/>
        <v>29.094999999999999</v>
      </c>
      <c r="GR25" s="363"/>
      <c r="GS25" s="363"/>
      <c r="GT25" s="364"/>
      <c r="GU25" s="362"/>
      <c r="GV25" s="363"/>
      <c r="GW25" s="363"/>
      <c r="GX25" s="365"/>
    </row>
    <row r="26" spans="6:206">
      <c r="F26" s="113"/>
      <c r="G26" s="10"/>
      <c r="H26" s="8"/>
      <c r="I26" s="10"/>
      <c r="J26" s="292"/>
      <c r="K26" s="292"/>
      <c r="L26" s="358"/>
      <c r="M26" s="359"/>
      <c r="N26" s="360"/>
      <c r="O26" s="359"/>
      <c r="P26" s="359"/>
      <c r="Q26" s="359"/>
      <c r="R26" s="358"/>
      <c r="S26" s="359"/>
      <c r="T26" s="360"/>
      <c r="U26" s="359"/>
      <c r="V26" s="359"/>
      <c r="W26" s="359"/>
      <c r="X26" s="358"/>
      <c r="Y26" s="359"/>
      <c r="Z26" s="359"/>
      <c r="AA26" s="360"/>
      <c r="AB26" s="358"/>
      <c r="AC26" s="359"/>
      <c r="AD26" s="359"/>
      <c r="AE26" s="361"/>
      <c r="AO26" s="113"/>
      <c r="AP26" s="10"/>
      <c r="AQ26" s="8"/>
      <c r="AR26" s="10"/>
      <c r="AS26" s="292"/>
      <c r="AT26" s="292"/>
      <c r="AU26" s="358"/>
      <c r="AV26" s="359"/>
      <c r="AW26" s="360"/>
      <c r="AX26" s="359"/>
      <c r="AY26" s="359"/>
      <c r="AZ26" s="359"/>
      <c r="BA26" s="358"/>
      <c r="BB26" s="359"/>
      <c r="BC26" s="360"/>
      <c r="BD26" s="359"/>
      <c r="BE26" s="359"/>
      <c r="BF26" s="359"/>
      <c r="BG26" s="358"/>
      <c r="BH26" s="359"/>
      <c r="BI26" s="359"/>
      <c r="BJ26" s="360"/>
      <c r="BK26" s="358"/>
      <c r="BL26" s="359"/>
      <c r="BM26" s="359"/>
      <c r="BN26" s="361"/>
      <c r="BX26" s="113"/>
      <c r="BY26" s="10"/>
      <c r="BZ26" s="8"/>
      <c r="CA26" s="10"/>
      <c r="CB26" s="292"/>
      <c r="CC26" s="292"/>
      <c r="CD26" s="358"/>
      <c r="CE26" s="359"/>
      <c r="CF26" s="360"/>
      <c r="CG26" s="359"/>
      <c r="CH26" s="359"/>
      <c r="CI26" s="359"/>
      <c r="CJ26" s="358"/>
      <c r="CK26" s="359"/>
      <c r="CL26" s="360"/>
      <c r="CM26" s="359"/>
      <c r="CN26" s="359"/>
      <c r="CO26" s="359"/>
      <c r="CP26" s="358"/>
      <c r="CQ26" s="359"/>
      <c r="CR26" s="359"/>
      <c r="CS26" s="360"/>
      <c r="CT26" s="358"/>
      <c r="CU26" s="359"/>
      <c r="CV26" s="359"/>
      <c r="CW26" s="361"/>
      <c r="DG26" s="113"/>
      <c r="DH26" s="10"/>
      <c r="DI26" s="8"/>
      <c r="DJ26" s="10"/>
      <c r="DK26" s="292"/>
      <c r="DL26" s="292"/>
      <c r="DM26" s="358"/>
      <c r="DN26" s="359"/>
      <c r="DO26" s="360"/>
      <c r="DP26" s="359"/>
      <c r="DQ26" s="359"/>
      <c r="DR26" s="359"/>
      <c r="DS26" s="358"/>
      <c r="DT26" s="359"/>
      <c r="DU26" s="360"/>
      <c r="DV26" s="359"/>
      <c r="DW26" s="359"/>
      <c r="DX26" s="359"/>
      <c r="DY26" s="358"/>
      <c r="DZ26" s="359"/>
      <c r="EA26" s="359"/>
      <c r="EB26" s="360"/>
      <c r="EC26" s="358"/>
      <c r="ED26" s="359"/>
      <c r="EE26" s="359"/>
      <c r="EF26" s="361"/>
      <c r="EP26" s="113"/>
      <c r="EQ26" s="10"/>
      <c r="ER26" s="8"/>
      <c r="ES26" s="10"/>
      <c r="ET26" s="292"/>
      <c r="EU26" s="292"/>
      <c r="EV26" s="358"/>
      <c r="EW26" s="359"/>
      <c r="EX26" s="360"/>
      <c r="EY26" s="359"/>
      <c r="EZ26" s="359"/>
      <c r="FA26" s="359"/>
      <c r="FB26" s="358"/>
      <c r="FC26" s="359"/>
      <c r="FD26" s="360"/>
      <c r="FE26" s="359"/>
      <c r="FF26" s="359"/>
      <c r="FG26" s="359"/>
      <c r="FH26" s="358"/>
      <c r="FI26" s="359"/>
      <c r="FJ26" s="359"/>
      <c r="FK26" s="360"/>
      <c r="FL26" s="358"/>
      <c r="FM26" s="359"/>
      <c r="FN26" s="359"/>
      <c r="FO26" s="361"/>
      <c r="FY26" s="113"/>
      <c r="FZ26" s="10"/>
      <c r="GA26" s="8"/>
      <c r="GB26" s="10">
        <f>'3.照査'!$G$12</f>
        <v>1</v>
      </c>
      <c r="GC26" s="292" t="str">
        <f>'3.照査'!$H$12</f>
        <v>段目</v>
      </c>
      <c r="GD26" s="292"/>
      <c r="GE26" s="358">
        <f>'3.照査'!$J$12</f>
        <v>25.3</v>
      </c>
      <c r="GF26" s="359"/>
      <c r="GG26" s="360"/>
      <c r="GH26" s="359"/>
      <c r="GI26" s="359"/>
      <c r="GJ26" s="359"/>
      <c r="GK26" s="358">
        <f t="shared" si="11"/>
        <v>0.75</v>
      </c>
      <c r="GL26" s="359"/>
      <c r="GM26" s="360"/>
      <c r="GN26" s="359"/>
      <c r="GO26" s="359"/>
      <c r="GP26" s="359"/>
      <c r="GQ26" s="358">
        <f>GE26*GK26</f>
        <v>18.975000000000001</v>
      </c>
      <c r="GR26" s="359"/>
      <c r="GS26" s="359"/>
      <c r="GT26" s="360"/>
      <c r="GU26" s="358"/>
      <c r="GV26" s="359"/>
      <c r="GW26" s="359"/>
      <c r="GX26" s="361"/>
    </row>
    <row r="27" spans="6:206">
      <c r="F27" s="114" t="s">
        <v>368</v>
      </c>
      <c r="G27" s="55"/>
      <c r="H27" s="55"/>
      <c r="I27" s="55"/>
      <c r="J27" s="55"/>
      <c r="K27" s="55"/>
      <c r="L27" s="358">
        <f>'4-1.部材'!$Q$33</f>
        <v>2.229302021455774E-2</v>
      </c>
      <c r="M27" s="359"/>
      <c r="N27" s="360"/>
      <c r="O27" s="359">
        <f>'4-1.部材'!$T$33</f>
        <v>0.83282023547092643</v>
      </c>
      <c r="P27" s="359"/>
      <c r="Q27" s="359"/>
      <c r="R27" s="358">
        <f>'4-1.部材'!$W$33</f>
        <v>1.2066666666666668</v>
      </c>
      <c r="S27" s="359"/>
      <c r="T27" s="360"/>
      <c r="U27" s="359">
        <f>'4-1.部材'!$Z$33</f>
        <v>0.26666666666666661</v>
      </c>
      <c r="V27" s="359"/>
      <c r="W27" s="359"/>
      <c r="X27" s="358">
        <f>L27*R27</f>
        <v>2.690024439223301E-2</v>
      </c>
      <c r="Y27" s="359"/>
      <c r="Z27" s="359"/>
      <c r="AA27" s="360"/>
      <c r="AB27" s="358">
        <f>O27*U27</f>
        <v>0.22208539612558034</v>
      </c>
      <c r="AC27" s="359"/>
      <c r="AD27" s="359"/>
      <c r="AE27" s="361"/>
      <c r="AO27" s="114" t="s">
        <v>368</v>
      </c>
      <c r="AP27" s="55"/>
      <c r="AQ27" s="55"/>
      <c r="AR27" s="55"/>
      <c r="AS27" s="55"/>
      <c r="AT27" s="55"/>
      <c r="AU27" s="358">
        <f>'4-1.部材'!$Q$34</f>
        <v>0.11285841483619859</v>
      </c>
      <c r="AV27" s="359"/>
      <c r="AW27" s="360"/>
      <c r="AX27" s="359">
        <f>'4-1.部材'!$T$34</f>
        <v>4.2161524420715661</v>
      </c>
      <c r="AY27" s="359"/>
      <c r="AZ27" s="359"/>
      <c r="BA27" s="358">
        <f>'4-1.部材'!$W$34</f>
        <v>1.34</v>
      </c>
      <c r="BB27" s="359"/>
      <c r="BC27" s="360"/>
      <c r="BD27" s="359">
        <f>'4-1.部材'!$Z$34</f>
        <v>0.6</v>
      </c>
      <c r="BE27" s="359"/>
      <c r="BF27" s="359"/>
      <c r="BG27" s="358">
        <f>AU27*BA27</f>
        <v>0.15123027588050611</v>
      </c>
      <c r="BH27" s="359"/>
      <c r="BI27" s="359"/>
      <c r="BJ27" s="360"/>
      <c r="BK27" s="358">
        <f>AX27*BD27</f>
        <v>2.5296914652429394</v>
      </c>
      <c r="BL27" s="359"/>
      <c r="BM27" s="359"/>
      <c r="BN27" s="361"/>
      <c r="BX27" s="114" t="s">
        <v>368</v>
      </c>
      <c r="BY27" s="55"/>
      <c r="BZ27" s="55"/>
      <c r="CA27" s="55"/>
      <c r="CB27" s="55"/>
      <c r="CC27" s="55"/>
      <c r="CD27" s="358">
        <f>'4-1.部材'!$Q$35</f>
        <v>0.2730894976283324</v>
      </c>
      <c r="CE27" s="359"/>
      <c r="CF27" s="360"/>
      <c r="CG27" s="359">
        <f>'4-1.部材'!$T$35</f>
        <v>10.202047884518851</v>
      </c>
      <c r="CH27" s="359"/>
      <c r="CI27" s="359"/>
      <c r="CJ27" s="358">
        <f>'4-1.部材'!$W$35</f>
        <v>1.4733333333333334</v>
      </c>
      <c r="CK27" s="359"/>
      <c r="CL27" s="360"/>
      <c r="CM27" s="359">
        <f>'4-1.部材'!$Z$35</f>
        <v>0.93333333333333324</v>
      </c>
      <c r="CN27" s="359"/>
      <c r="CO27" s="359"/>
      <c r="CP27" s="358">
        <f>CD27*CJ27</f>
        <v>0.4023518598390764</v>
      </c>
      <c r="CQ27" s="359"/>
      <c r="CR27" s="359"/>
      <c r="CS27" s="360"/>
      <c r="CT27" s="358">
        <f>CG27*CM27</f>
        <v>9.5219113588842603</v>
      </c>
      <c r="CU27" s="359"/>
      <c r="CV27" s="359"/>
      <c r="CW27" s="361"/>
      <c r="DG27" s="114" t="s">
        <v>368</v>
      </c>
      <c r="DH27" s="55"/>
      <c r="DI27" s="55"/>
      <c r="DJ27" s="55"/>
      <c r="DK27" s="55"/>
      <c r="DL27" s="55"/>
      <c r="DM27" s="358">
        <f>'4-1.部材'!$Q$36</f>
        <v>0.50298626859095907</v>
      </c>
      <c r="DN27" s="359"/>
      <c r="DO27" s="360"/>
      <c r="DP27" s="359">
        <f>'4-1.部材'!$T$36</f>
        <v>18.79050656281278</v>
      </c>
      <c r="DQ27" s="359"/>
      <c r="DR27" s="359"/>
      <c r="DS27" s="358">
        <f>'4-1.部材'!$W$36</f>
        <v>1.6066666666666669</v>
      </c>
      <c r="DT27" s="359"/>
      <c r="DU27" s="360"/>
      <c r="DV27" s="359">
        <f>'4-1.部材'!$Z$36</f>
        <v>1.2666666666666666</v>
      </c>
      <c r="DW27" s="359"/>
      <c r="DX27" s="359"/>
      <c r="DY27" s="358">
        <f>DM27*DS27</f>
        <v>0.80813127153614106</v>
      </c>
      <c r="DZ27" s="359"/>
      <c r="EA27" s="359"/>
      <c r="EB27" s="360"/>
      <c r="EC27" s="358">
        <f>DP27*DV27</f>
        <v>23.801308312896186</v>
      </c>
      <c r="ED27" s="359"/>
      <c r="EE27" s="359"/>
      <c r="EF27" s="361"/>
      <c r="EP27" s="114" t="s">
        <v>368</v>
      </c>
      <c r="EQ27" s="55"/>
      <c r="ER27" s="55"/>
      <c r="ES27" s="55"/>
      <c r="ET27" s="55"/>
      <c r="EU27" s="55"/>
      <c r="EV27" s="358">
        <f>'4-1.部材'!$Q$37</f>
        <v>0.80254872772407881</v>
      </c>
      <c r="EW27" s="359"/>
      <c r="EX27" s="360"/>
      <c r="EY27" s="359">
        <f>'4-1.部材'!$T$37</f>
        <v>29.981528476953358</v>
      </c>
      <c r="EZ27" s="359"/>
      <c r="FA27" s="359"/>
      <c r="FB27" s="358">
        <f>'4-1.部材'!$W$37</f>
        <v>1.7400000000000002</v>
      </c>
      <c r="FC27" s="359"/>
      <c r="FD27" s="360"/>
      <c r="FE27" s="359">
        <f>'4-1.部材'!$Z$37</f>
        <v>1.5999999999999999</v>
      </c>
      <c r="FF27" s="359"/>
      <c r="FG27" s="359"/>
      <c r="FH27" s="358">
        <f>EV27*FB27</f>
        <v>1.3964347862398974</v>
      </c>
      <c r="FI27" s="359"/>
      <c r="FJ27" s="359"/>
      <c r="FK27" s="360"/>
      <c r="FL27" s="358">
        <f>EY27*FE27</f>
        <v>47.970445563125367</v>
      </c>
      <c r="FM27" s="359"/>
      <c r="FN27" s="359"/>
      <c r="FO27" s="361"/>
      <c r="FY27" s="114" t="s">
        <v>368</v>
      </c>
      <c r="FZ27" s="55"/>
      <c r="GA27" s="55"/>
      <c r="GB27" s="55"/>
      <c r="GC27" s="55"/>
      <c r="GD27" s="55"/>
      <c r="GE27" s="358">
        <f>'4-1.部材'!$Q$38</f>
        <v>1.1717768750276916</v>
      </c>
      <c r="GF27" s="359"/>
      <c r="GG27" s="360"/>
      <c r="GH27" s="359">
        <f>'4-1.部材'!$T$38</f>
        <v>43.775113626940581</v>
      </c>
      <c r="GI27" s="359"/>
      <c r="GJ27" s="359"/>
      <c r="GK27" s="358">
        <f>'4-1.部材'!$W$38</f>
        <v>1.8733333333333335</v>
      </c>
      <c r="GL27" s="359"/>
      <c r="GM27" s="360"/>
      <c r="GN27" s="359">
        <f>'4-1.部材'!$Z$38</f>
        <v>1.9333333333333333</v>
      </c>
      <c r="GO27" s="359"/>
      <c r="GP27" s="359"/>
      <c r="GQ27" s="358">
        <f>GE27*GK27</f>
        <v>2.1951286792185423</v>
      </c>
      <c r="GR27" s="359"/>
      <c r="GS27" s="359"/>
      <c r="GT27" s="360"/>
      <c r="GU27" s="358">
        <f>GH27*GN27</f>
        <v>84.631886345418451</v>
      </c>
      <c r="GV27" s="359"/>
      <c r="GW27" s="359"/>
      <c r="GX27" s="361"/>
    </row>
    <row r="28" spans="6:206">
      <c r="F28" s="357" t="s">
        <v>369</v>
      </c>
      <c r="G28" s="292"/>
      <c r="H28" s="292"/>
      <c r="I28" s="55"/>
      <c r="L28" s="358">
        <f>'4-1.部材'!$CO$32</f>
        <v>-1.6164440290866791</v>
      </c>
      <c r="M28" s="359"/>
      <c r="N28" s="360"/>
      <c r="O28" s="359">
        <f>'4-1.部材'!$CR$32</f>
        <v>4.0413983853220419</v>
      </c>
      <c r="P28" s="359"/>
      <c r="Q28" s="359"/>
      <c r="R28" s="358">
        <f>'4-1.部材'!$CU$32</f>
        <v>1.2665438949890881</v>
      </c>
      <c r="S28" s="359"/>
      <c r="T28" s="360"/>
      <c r="U28" s="359">
        <f>'4-1.部材'!$CX$32</f>
        <v>0.41635973747272031</v>
      </c>
      <c r="V28" s="359"/>
      <c r="W28" s="359"/>
      <c r="X28" s="358">
        <f>L28*R28</f>
        <v>-2.0472973166312975</v>
      </c>
      <c r="Y28" s="359"/>
      <c r="Z28" s="359"/>
      <c r="AA28" s="360"/>
      <c r="AB28" s="358">
        <f>O28*U28</f>
        <v>1.6826755707353611</v>
      </c>
      <c r="AC28" s="359"/>
      <c r="AD28" s="359"/>
      <c r="AE28" s="361"/>
      <c r="AO28" s="357" t="s">
        <v>369</v>
      </c>
      <c r="AP28" s="292"/>
      <c r="AQ28" s="292"/>
      <c r="AR28" s="55"/>
      <c r="AU28" s="358">
        <f>'4-1.部材'!$CO$33</f>
        <v>-3.079183285139937</v>
      </c>
      <c r="AV28" s="359"/>
      <c r="AW28" s="360"/>
      <c r="AX28" s="359">
        <f>'4-1.部材'!$CR$33</f>
        <v>7.6985074229303008</v>
      </c>
      <c r="AY28" s="359"/>
      <c r="AZ28" s="359"/>
      <c r="BA28" s="358">
        <f>'4-1.部材'!$CU$33</f>
        <v>1.4991299242001519</v>
      </c>
      <c r="BB28" s="359"/>
      <c r="BC28" s="360"/>
      <c r="BD28" s="359">
        <f>'4-1.部材'!$CX$33</f>
        <v>0.99782481050037963</v>
      </c>
      <c r="BE28" s="359"/>
      <c r="BF28" s="359"/>
      <c r="BG28" s="358">
        <f>AU28*BA28</f>
        <v>-4.6160958048502083</v>
      </c>
      <c r="BH28" s="359"/>
      <c r="BI28" s="359"/>
      <c r="BJ28" s="360"/>
      <c r="BK28" s="358">
        <f>AX28*BD28</f>
        <v>7.6817617104211937</v>
      </c>
      <c r="BL28" s="359"/>
      <c r="BM28" s="359"/>
      <c r="BN28" s="361"/>
      <c r="BX28" s="357" t="s">
        <v>369</v>
      </c>
      <c r="BY28" s="292"/>
      <c r="BZ28" s="292"/>
      <c r="CA28" s="55"/>
      <c r="CD28" s="358">
        <f>'4-1.部材'!$CO$34</f>
        <v>-3.9221272297430918</v>
      </c>
      <c r="CE28" s="359"/>
      <c r="CF28" s="360"/>
      <c r="CG28" s="359">
        <f>'4-1.部材'!$CR$34</f>
        <v>9.8060176338226732</v>
      </c>
      <c r="CH28" s="359"/>
      <c r="CI28" s="359"/>
      <c r="CJ28" s="358">
        <f>'4-1.部材'!$CU$34</f>
        <v>1.7756323756640253</v>
      </c>
      <c r="CK28" s="359"/>
      <c r="CL28" s="360"/>
      <c r="CM28" s="359">
        <f>'4-1.部材'!$CX$34</f>
        <v>1.689080939160063</v>
      </c>
      <c r="CN28" s="359"/>
      <c r="CO28" s="359"/>
      <c r="CP28" s="358">
        <f>CD28*CJ28</f>
        <v>-6.9642560906052884</v>
      </c>
      <c r="CQ28" s="359"/>
      <c r="CR28" s="359"/>
      <c r="CS28" s="360"/>
      <c r="CT28" s="358">
        <f>CG28*CM28</f>
        <v>16.56315747435734</v>
      </c>
      <c r="CU28" s="359"/>
      <c r="CV28" s="359"/>
      <c r="CW28" s="361"/>
      <c r="DG28" s="357" t="s">
        <v>369</v>
      </c>
      <c r="DH28" s="292"/>
      <c r="DI28" s="292"/>
      <c r="DJ28" s="55"/>
      <c r="DM28" s="358">
        <f>'4-1.部材'!$CO$35</f>
        <v>-4.1513467324059441</v>
      </c>
      <c r="DN28" s="359"/>
      <c r="DO28" s="360"/>
      <c r="DP28" s="359">
        <f>'4-1.部材'!$CR$35</f>
        <v>10.379107274587648</v>
      </c>
      <c r="DQ28" s="359"/>
      <c r="DR28" s="359"/>
      <c r="DS28" s="358">
        <f>'4-1.部材'!$CU$35</f>
        <v>2.1319951981929943</v>
      </c>
      <c r="DT28" s="359"/>
      <c r="DU28" s="360"/>
      <c r="DV28" s="359">
        <f>'4-1.部材'!$CX$35</f>
        <v>2.5799879954824849</v>
      </c>
      <c r="DW28" s="359"/>
      <c r="DX28" s="359"/>
      <c r="DY28" s="358">
        <f>DM28*DS28</f>
        <v>-8.8506512995236495</v>
      </c>
      <c r="DZ28" s="359"/>
      <c r="EA28" s="359"/>
      <c r="EB28" s="360"/>
      <c r="EC28" s="358">
        <f>DP28*DV28</f>
        <v>26.777972172261062</v>
      </c>
      <c r="ED28" s="359"/>
      <c r="EE28" s="359"/>
      <c r="EF28" s="361"/>
      <c r="EP28" s="357" t="s">
        <v>369</v>
      </c>
      <c r="EQ28" s="292"/>
      <c r="ER28" s="292"/>
      <c r="ES28" s="55"/>
      <c r="EV28" s="358">
        <f>'4-1.部材'!$CO$36</f>
        <v>-4.1513467324059441</v>
      </c>
      <c r="EW28" s="359"/>
      <c r="EX28" s="360"/>
      <c r="EY28" s="359">
        <f>'4-1.部材'!$CR$36</f>
        <v>10.379107274587648</v>
      </c>
      <c r="EZ28" s="359"/>
      <c r="FA28" s="359"/>
      <c r="FB28" s="358">
        <f>'4-1.部材'!$CU$36</f>
        <v>2.5319951981929942</v>
      </c>
      <c r="FC28" s="359"/>
      <c r="FD28" s="360"/>
      <c r="FE28" s="359">
        <f>'4-1.部材'!$CX$36</f>
        <v>3.5799879954824849</v>
      </c>
      <c r="FF28" s="359"/>
      <c r="FG28" s="359"/>
      <c r="FH28" s="358">
        <f>EV28*FB28</f>
        <v>-10.511189992486027</v>
      </c>
      <c r="FI28" s="359"/>
      <c r="FJ28" s="359"/>
      <c r="FK28" s="360"/>
      <c r="FL28" s="358">
        <f>EY28*FE28</f>
        <v>37.157079446848712</v>
      </c>
      <c r="FM28" s="359"/>
      <c r="FN28" s="359"/>
      <c r="FO28" s="361"/>
      <c r="FY28" s="357" t="s">
        <v>369</v>
      </c>
      <c r="FZ28" s="292"/>
      <c r="GA28" s="292"/>
      <c r="GB28" s="55"/>
      <c r="GE28" s="358">
        <f>'4-1.部材'!$CO$37</f>
        <v>-4.1513467324059441</v>
      </c>
      <c r="GF28" s="359"/>
      <c r="GG28" s="360"/>
      <c r="GH28" s="359">
        <f>'4-1.部材'!$CR$37</f>
        <v>10.379107274587648</v>
      </c>
      <c r="GI28" s="359"/>
      <c r="GJ28" s="359"/>
      <c r="GK28" s="358">
        <f>'4-1.部材'!$CU$37</f>
        <v>2.9319951981929941</v>
      </c>
      <c r="GL28" s="359"/>
      <c r="GM28" s="360"/>
      <c r="GN28" s="359">
        <f>'4-1.部材'!$CX$37</f>
        <v>4.5799879954824849</v>
      </c>
      <c r="GO28" s="359"/>
      <c r="GP28" s="359"/>
      <c r="GQ28" s="358">
        <f>GE28*GK28</f>
        <v>-12.171728685448405</v>
      </c>
      <c r="GR28" s="359"/>
      <c r="GS28" s="359"/>
      <c r="GT28" s="360"/>
      <c r="GU28" s="358">
        <f>GH28*GN28</f>
        <v>47.536186721436358</v>
      </c>
      <c r="GV28" s="359"/>
      <c r="GW28" s="359"/>
      <c r="GX28" s="361"/>
    </row>
    <row r="29" spans="6:206" ht="18.600000000000001" thickBot="1">
      <c r="F29" s="115"/>
      <c r="G29" s="86"/>
      <c r="H29" s="86" t="s">
        <v>370</v>
      </c>
      <c r="I29" s="86"/>
      <c r="J29" s="86"/>
      <c r="K29" s="86"/>
      <c r="L29" s="366">
        <f>SUM(L21:N28)</f>
        <v>18.645848991127874</v>
      </c>
      <c r="M29" s="367"/>
      <c r="N29" s="368"/>
      <c r="O29" s="366">
        <f>SUM(O21:Q28)</f>
        <v>4.8742186207929681</v>
      </c>
      <c r="P29" s="367"/>
      <c r="Q29" s="368"/>
      <c r="R29" s="366"/>
      <c r="S29" s="367"/>
      <c r="T29" s="368"/>
      <c r="U29" s="367"/>
      <c r="V29" s="367"/>
      <c r="W29" s="367"/>
      <c r="X29" s="366">
        <f>SUM(X21:AA28)</f>
        <v>12.350002927760933</v>
      </c>
      <c r="Y29" s="367"/>
      <c r="Z29" s="367"/>
      <c r="AA29" s="368"/>
      <c r="AB29" s="366">
        <f>SUM(AB21:AE28)</f>
        <v>1.9047609668609415</v>
      </c>
      <c r="AC29" s="367"/>
      <c r="AD29" s="367"/>
      <c r="AE29" s="369"/>
      <c r="AO29" s="115"/>
      <c r="AP29" s="86"/>
      <c r="AQ29" s="86" t="s">
        <v>370</v>
      </c>
      <c r="AR29" s="86"/>
      <c r="AS29" s="86"/>
      <c r="AT29" s="86"/>
      <c r="AU29" s="366">
        <f>SUM(AU21:AW28)</f>
        <v>42.573675129696255</v>
      </c>
      <c r="AV29" s="367"/>
      <c r="AW29" s="368"/>
      <c r="AX29" s="366">
        <f>SUM(AX21:AZ28)</f>
        <v>11.914659865001866</v>
      </c>
      <c r="AY29" s="367"/>
      <c r="AZ29" s="368"/>
      <c r="BA29" s="366"/>
      <c r="BB29" s="367"/>
      <c r="BC29" s="368"/>
      <c r="BD29" s="367"/>
      <c r="BE29" s="367"/>
      <c r="BF29" s="367"/>
      <c r="BG29" s="366">
        <f>SUM(BG21:BJ28)</f>
        <v>36.976534471030298</v>
      </c>
      <c r="BH29" s="367"/>
      <c r="BI29" s="367"/>
      <c r="BJ29" s="368"/>
      <c r="BK29" s="366">
        <f>SUM(BK21:BN28)</f>
        <v>10.211453175664133</v>
      </c>
      <c r="BL29" s="367"/>
      <c r="BM29" s="367"/>
      <c r="BN29" s="369"/>
      <c r="BX29" s="115"/>
      <c r="BY29" s="86"/>
      <c r="BZ29" s="86" t="s">
        <v>370</v>
      </c>
      <c r="CA29" s="86"/>
      <c r="CB29" s="86"/>
      <c r="CC29" s="86"/>
      <c r="CD29" s="366">
        <f>SUM(CD21:CF28)</f>
        <v>67.190962267885226</v>
      </c>
      <c r="CE29" s="367"/>
      <c r="CF29" s="368"/>
      <c r="CG29" s="366">
        <f>SUM(CG21:CI28)</f>
        <v>20.008065518341525</v>
      </c>
      <c r="CH29" s="367"/>
      <c r="CI29" s="368"/>
      <c r="CJ29" s="366"/>
      <c r="CK29" s="367"/>
      <c r="CL29" s="368"/>
      <c r="CM29" s="367"/>
      <c r="CN29" s="367"/>
      <c r="CO29" s="367"/>
      <c r="CP29" s="366">
        <f>SUM(CP21:CS28)</f>
        <v>72.070495769233773</v>
      </c>
      <c r="CQ29" s="367"/>
      <c r="CR29" s="367"/>
      <c r="CS29" s="368"/>
      <c r="CT29" s="366">
        <f>SUM(CT21:CW28)</f>
        <v>26.0850688332416</v>
      </c>
      <c r="CU29" s="367"/>
      <c r="CV29" s="367"/>
      <c r="CW29" s="369"/>
      <c r="DG29" s="115"/>
      <c r="DH29" s="86"/>
      <c r="DI29" s="86" t="s">
        <v>370</v>
      </c>
      <c r="DJ29" s="86"/>
      <c r="DK29" s="86"/>
      <c r="DL29" s="86"/>
      <c r="DM29" s="366">
        <f>SUM(DM21:DO28)</f>
        <v>92.491639536185005</v>
      </c>
      <c r="DN29" s="367"/>
      <c r="DO29" s="368"/>
      <c r="DP29" s="366">
        <f>SUM(DP21:DR28)</f>
        <v>29.169613837400426</v>
      </c>
      <c r="DQ29" s="367"/>
      <c r="DR29" s="368"/>
      <c r="DS29" s="366"/>
      <c r="DT29" s="367"/>
      <c r="DU29" s="368"/>
      <c r="DV29" s="367"/>
      <c r="DW29" s="367"/>
      <c r="DX29" s="367"/>
      <c r="DY29" s="366">
        <f>SUM(DY21:EB28)</f>
        <v>117.90087997201249</v>
      </c>
      <c r="DZ29" s="367"/>
      <c r="EA29" s="367"/>
      <c r="EB29" s="368"/>
      <c r="EC29" s="366">
        <f>SUM(EC21:EF28)</f>
        <v>50.579280485157248</v>
      </c>
      <c r="ED29" s="367"/>
      <c r="EE29" s="367"/>
      <c r="EF29" s="369"/>
      <c r="EP29" s="115"/>
      <c r="EQ29" s="86"/>
      <c r="ER29" s="86" t="s">
        <v>370</v>
      </c>
      <c r="ES29" s="86"/>
      <c r="ET29" s="86"/>
      <c r="EU29" s="86"/>
      <c r="EV29" s="366">
        <f>SUM(EV21:EX28)</f>
        <v>118.09120199531812</v>
      </c>
      <c r="EW29" s="367"/>
      <c r="EX29" s="368"/>
      <c r="EY29" s="366">
        <f>SUM(EY21:FA28)</f>
        <v>40.360635751541004</v>
      </c>
      <c r="EZ29" s="367"/>
      <c r="FA29" s="368"/>
      <c r="FB29" s="366"/>
      <c r="FC29" s="367"/>
      <c r="FD29" s="368"/>
      <c r="FE29" s="367"/>
      <c r="FF29" s="367"/>
      <c r="FG29" s="367"/>
      <c r="FH29" s="366">
        <f>SUM(FH21:FK28)</f>
        <v>174.25964479375384</v>
      </c>
      <c r="FI29" s="367"/>
      <c r="FJ29" s="367"/>
      <c r="FK29" s="368"/>
      <c r="FL29" s="366">
        <f>SUM(FL21:FO28)</f>
        <v>85.127525009974079</v>
      </c>
      <c r="FM29" s="367"/>
      <c r="FN29" s="367"/>
      <c r="FO29" s="369"/>
      <c r="FY29" s="115"/>
      <c r="FZ29" s="86"/>
      <c r="GA29" s="86" t="s">
        <v>370</v>
      </c>
      <c r="GB29" s="86"/>
      <c r="GC29" s="86"/>
      <c r="GD29" s="86"/>
      <c r="GE29" s="366">
        <f>SUM(GE21:GG28)</f>
        <v>143.76043014262171</v>
      </c>
      <c r="GF29" s="367"/>
      <c r="GG29" s="368"/>
      <c r="GH29" s="366">
        <f>SUM(GH21:GJ28)</f>
        <v>54.154220901528227</v>
      </c>
      <c r="GI29" s="367"/>
      <c r="GJ29" s="368"/>
      <c r="GK29" s="366"/>
      <c r="GL29" s="367"/>
      <c r="GM29" s="368"/>
      <c r="GN29" s="367"/>
      <c r="GO29" s="367"/>
      <c r="GP29" s="367"/>
      <c r="GQ29" s="366">
        <f>SUM(GQ21:GT28)</f>
        <v>240.94879999377014</v>
      </c>
      <c r="GR29" s="367"/>
      <c r="GS29" s="367"/>
      <c r="GT29" s="368"/>
      <c r="GU29" s="366">
        <f>SUM(GU21:GX28)</f>
        <v>132.16807306685482</v>
      </c>
      <c r="GV29" s="367"/>
      <c r="GW29" s="367"/>
      <c r="GX29" s="369"/>
    </row>
    <row r="38" spans="35:210">
      <c r="AI38">
        <v>13</v>
      </c>
      <c r="BR38">
        <v>14</v>
      </c>
      <c r="DA38">
        <v>15</v>
      </c>
      <c r="EJ38">
        <v>16</v>
      </c>
      <c r="FS38">
        <v>17</v>
      </c>
      <c r="HB38">
        <v>18</v>
      </c>
    </row>
  </sheetData>
  <sheetProtection sheet="1" objects="1" scenarios="1"/>
  <mergeCells count="762">
    <mergeCell ref="F28:H28"/>
    <mergeCell ref="L28:N28"/>
    <mergeCell ref="O28:Q28"/>
    <mergeCell ref="R28:T28"/>
    <mergeCell ref="U28:W28"/>
    <mergeCell ref="X28:AA28"/>
    <mergeCell ref="AB28:AE28"/>
    <mergeCell ref="L29:N29"/>
    <mergeCell ref="O29:Q29"/>
    <mergeCell ref="R29:T29"/>
    <mergeCell ref="U29:W29"/>
    <mergeCell ref="X29:AA29"/>
    <mergeCell ref="AB29:AE29"/>
    <mergeCell ref="J26:K26"/>
    <mergeCell ref="L26:N26"/>
    <mergeCell ref="O26:Q26"/>
    <mergeCell ref="R26:T26"/>
    <mergeCell ref="U26:W26"/>
    <mergeCell ref="X26:AA26"/>
    <mergeCell ref="AB26:AE26"/>
    <mergeCell ref="L27:N27"/>
    <mergeCell ref="O27:Q27"/>
    <mergeCell ref="R27:T27"/>
    <mergeCell ref="U27:W27"/>
    <mergeCell ref="X27:AA27"/>
    <mergeCell ref="AB27:AE27"/>
    <mergeCell ref="J24:K24"/>
    <mergeCell ref="L24:N24"/>
    <mergeCell ref="O24:Q24"/>
    <mergeCell ref="R24:T24"/>
    <mergeCell ref="U24:W24"/>
    <mergeCell ref="X24:AA24"/>
    <mergeCell ref="AB24:AE24"/>
    <mergeCell ref="J25:K25"/>
    <mergeCell ref="L25:N25"/>
    <mergeCell ref="O25:Q25"/>
    <mergeCell ref="R25:T25"/>
    <mergeCell ref="U25:W25"/>
    <mergeCell ref="X25:AA25"/>
    <mergeCell ref="AB25:AE25"/>
    <mergeCell ref="J22:K22"/>
    <mergeCell ref="L22:N22"/>
    <mergeCell ref="O22:Q22"/>
    <mergeCell ref="R22:T22"/>
    <mergeCell ref="U22:W22"/>
    <mergeCell ref="X22:AA22"/>
    <mergeCell ref="AB22:AE22"/>
    <mergeCell ref="J23:K23"/>
    <mergeCell ref="L23:N23"/>
    <mergeCell ref="O23:Q23"/>
    <mergeCell ref="R23:T23"/>
    <mergeCell ref="U23:W23"/>
    <mergeCell ref="X23:AA23"/>
    <mergeCell ref="AB23:AE23"/>
    <mergeCell ref="L20:N20"/>
    <mergeCell ref="O20:Q20"/>
    <mergeCell ref="R20:T20"/>
    <mergeCell ref="U20:W20"/>
    <mergeCell ref="AB20:AE20"/>
    <mergeCell ref="J21:K21"/>
    <mergeCell ref="L21:N21"/>
    <mergeCell ref="O21:Q21"/>
    <mergeCell ref="R21:T21"/>
    <mergeCell ref="U21:W21"/>
    <mergeCell ref="X21:AA21"/>
    <mergeCell ref="AB21:AE21"/>
    <mergeCell ref="X20:AA20"/>
    <mergeCell ref="L18:N18"/>
    <mergeCell ref="O18:Q18"/>
    <mergeCell ref="R18:W18"/>
    <mergeCell ref="X18:AE18"/>
    <mergeCell ref="L19:N19"/>
    <mergeCell ref="O19:Q19"/>
    <mergeCell ref="R19:T19"/>
    <mergeCell ref="U19:W19"/>
    <mergeCell ref="X19:AA19"/>
    <mergeCell ref="AB19:AE19"/>
    <mergeCell ref="G13:H13"/>
    <mergeCell ref="I13:K13"/>
    <mergeCell ref="L13:N13"/>
    <mergeCell ref="O13:Q13"/>
    <mergeCell ref="R13:T13"/>
    <mergeCell ref="U13:W13"/>
    <mergeCell ref="F14:H14"/>
    <mergeCell ref="I14:K14"/>
    <mergeCell ref="L14:N14"/>
    <mergeCell ref="O14:Q14"/>
    <mergeCell ref="R14:T14"/>
    <mergeCell ref="U14:W14"/>
    <mergeCell ref="G11:H11"/>
    <mergeCell ref="I11:K11"/>
    <mergeCell ref="L11:N11"/>
    <mergeCell ref="O11:Q11"/>
    <mergeCell ref="R11:T11"/>
    <mergeCell ref="U11:W11"/>
    <mergeCell ref="G12:H12"/>
    <mergeCell ref="I12:K12"/>
    <mergeCell ref="L12:N12"/>
    <mergeCell ref="O12:Q12"/>
    <mergeCell ref="R12:T12"/>
    <mergeCell ref="U12:W12"/>
    <mergeCell ref="G9:H9"/>
    <mergeCell ref="I9:K9"/>
    <mergeCell ref="L9:N9"/>
    <mergeCell ref="O9:Q9"/>
    <mergeCell ref="R9:T9"/>
    <mergeCell ref="U9:W9"/>
    <mergeCell ref="G10:H10"/>
    <mergeCell ref="I10:K10"/>
    <mergeCell ref="L10:N10"/>
    <mergeCell ref="O10:Q10"/>
    <mergeCell ref="R10:T10"/>
    <mergeCell ref="U10:W10"/>
    <mergeCell ref="G8:H8"/>
    <mergeCell ref="I8:K8"/>
    <mergeCell ref="L8:N8"/>
    <mergeCell ref="O8:Q8"/>
    <mergeCell ref="R8:T8"/>
    <mergeCell ref="U8:W8"/>
    <mergeCell ref="I6:K6"/>
    <mergeCell ref="L6:T6"/>
    <mergeCell ref="U6:W6"/>
    <mergeCell ref="I7:K7"/>
    <mergeCell ref="L7:N7"/>
    <mergeCell ref="O7:Q7"/>
    <mergeCell ref="R7:T7"/>
    <mergeCell ref="U7:W7"/>
    <mergeCell ref="AO28:AQ28"/>
    <mergeCell ref="AU28:AW28"/>
    <mergeCell ref="AX28:AZ28"/>
    <mergeCell ref="BA28:BC28"/>
    <mergeCell ref="BD28:BF28"/>
    <mergeCell ref="BG28:BJ28"/>
    <mergeCell ref="BK28:BN28"/>
    <mergeCell ref="AU29:AW29"/>
    <mergeCell ref="AX29:AZ29"/>
    <mergeCell ref="BA29:BC29"/>
    <mergeCell ref="BD29:BF29"/>
    <mergeCell ref="BG29:BJ29"/>
    <mergeCell ref="BK29:BN29"/>
    <mergeCell ref="AS26:AT26"/>
    <mergeCell ref="AU26:AW26"/>
    <mergeCell ref="AX26:AZ26"/>
    <mergeCell ref="BA26:BC26"/>
    <mergeCell ref="BD26:BF26"/>
    <mergeCell ref="BG26:BJ26"/>
    <mergeCell ref="BK26:BN26"/>
    <mergeCell ref="AU27:AW27"/>
    <mergeCell ref="AX27:AZ27"/>
    <mergeCell ref="BA27:BC27"/>
    <mergeCell ref="BD27:BF27"/>
    <mergeCell ref="BG27:BJ27"/>
    <mergeCell ref="BK27:BN27"/>
    <mergeCell ref="AS24:AT24"/>
    <mergeCell ref="AU24:AW24"/>
    <mergeCell ref="AX24:AZ24"/>
    <mergeCell ref="BA24:BC24"/>
    <mergeCell ref="BD24:BF24"/>
    <mergeCell ref="BG24:BJ24"/>
    <mergeCell ref="BK24:BN24"/>
    <mergeCell ref="AS25:AT25"/>
    <mergeCell ref="AU25:AW25"/>
    <mergeCell ref="AX25:AZ25"/>
    <mergeCell ref="BA25:BC25"/>
    <mergeCell ref="BD25:BF25"/>
    <mergeCell ref="BG25:BJ25"/>
    <mergeCell ref="BK25:BN25"/>
    <mergeCell ref="AS22:AT22"/>
    <mergeCell ref="AU22:AW22"/>
    <mergeCell ref="AX22:AZ22"/>
    <mergeCell ref="BA22:BC22"/>
    <mergeCell ref="BD22:BF22"/>
    <mergeCell ref="BG22:BJ22"/>
    <mergeCell ref="BK22:BN22"/>
    <mergeCell ref="AS23:AT23"/>
    <mergeCell ref="AU23:AW23"/>
    <mergeCell ref="AX23:AZ23"/>
    <mergeCell ref="BA23:BC23"/>
    <mergeCell ref="BD23:BF23"/>
    <mergeCell ref="BG23:BJ23"/>
    <mergeCell ref="BK23:BN23"/>
    <mergeCell ref="AU20:AW20"/>
    <mergeCell ref="AX20:AZ20"/>
    <mergeCell ref="BA20:BC20"/>
    <mergeCell ref="BD20:BF20"/>
    <mergeCell ref="BK20:BN20"/>
    <mergeCell ref="AS21:AT21"/>
    <mergeCell ref="AU21:AW21"/>
    <mergeCell ref="AX21:AZ21"/>
    <mergeCell ref="BA21:BC21"/>
    <mergeCell ref="BD21:BF21"/>
    <mergeCell ref="BG21:BJ21"/>
    <mergeCell ref="BK21:BN21"/>
    <mergeCell ref="BG20:BJ20"/>
    <mergeCell ref="AU18:AW18"/>
    <mergeCell ref="AX18:AZ18"/>
    <mergeCell ref="BA18:BF18"/>
    <mergeCell ref="BG18:BN18"/>
    <mergeCell ref="AU19:AW19"/>
    <mergeCell ref="AX19:AZ19"/>
    <mergeCell ref="BA19:BC19"/>
    <mergeCell ref="BD19:BF19"/>
    <mergeCell ref="BG19:BJ19"/>
    <mergeCell ref="BK19:BN19"/>
    <mergeCell ref="AP13:AQ13"/>
    <mergeCell ref="AR13:AT13"/>
    <mergeCell ref="AU13:AW13"/>
    <mergeCell ref="AX13:AZ13"/>
    <mergeCell ref="BA13:BC13"/>
    <mergeCell ref="BD13:BF13"/>
    <mergeCell ref="AO14:AQ14"/>
    <mergeCell ref="AR14:AT14"/>
    <mergeCell ref="AU14:AW14"/>
    <mergeCell ref="AX14:AZ14"/>
    <mergeCell ref="BA14:BC14"/>
    <mergeCell ref="BD14:BF14"/>
    <mergeCell ref="AP11:AQ11"/>
    <mergeCell ref="AR11:AT11"/>
    <mergeCell ref="AU11:AW11"/>
    <mergeCell ref="AX11:AZ11"/>
    <mergeCell ref="BA11:BC11"/>
    <mergeCell ref="BD11:BF11"/>
    <mergeCell ref="AP12:AQ12"/>
    <mergeCell ref="AR12:AT12"/>
    <mergeCell ref="AU12:AW12"/>
    <mergeCell ref="AX12:AZ12"/>
    <mergeCell ref="BA12:BC12"/>
    <mergeCell ref="BD12:BF12"/>
    <mergeCell ref="AP9:AQ9"/>
    <mergeCell ref="AR9:AT9"/>
    <mergeCell ref="AU9:AW9"/>
    <mergeCell ref="AX9:AZ9"/>
    <mergeCell ref="BA9:BC9"/>
    <mergeCell ref="BD9:BF9"/>
    <mergeCell ref="AP10:AQ10"/>
    <mergeCell ref="AR10:AT10"/>
    <mergeCell ref="AU10:AW10"/>
    <mergeCell ref="AX10:AZ10"/>
    <mergeCell ref="BA10:BC10"/>
    <mergeCell ref="BD10:BF10"/>
    <mergeCell ref="AP8:AQ8"/>
    <mergeCell ref="AR8:AT8"/>
    <mergeCell ref="AU8:AW8"/>
    <mergeCell ref="AX8:AZ8"/>
    <mergeCell ref="BA8:BC8"/>
    <mergeCell ref="BD8:BF8"/>
    <mergeCell ref="AR6:AT6"/>
    <mergeCell ref="AU6:BC6"/>
    <mergeCell ref="BD6:BF6"/>
    <mergeCell ref="AR7:AT7"/>
    <mergeCell ref="AU7:AW7"/>
    <mergeCell ref="AX7:AZ7"/>
    <mergeCell ref="BA7:BC7"/>
    <mergeCell ref="BD7:BF7"/>
    <mergeCell ref="BX28:BZ28"/>
    <mergeCell ref="CD28:CF28"/>
    <mergeCell ref="CG28:CI28"/>
    <mergeCell ref="CJ28:CL28"/>
    <mergeCell ref="CM28:CO28"/>
    <mergeCell ref="CP28:CS28"/>
    <mergeCell ref="CT28:CW28"/>
    <mergeCell ref="CD29:CF29"/>
    <mergeCell ref="CG29:CI29"/>
    <mergeCell ref="CJ29:CL29"/>
    <mergeCell ref="CM29:CO29"/>
    <mergeCell ref="CP29:CS29"/>
    <mergeCell ref="CT29:CW29"/>
    <mergeCell ref="CB26:CC26"/>
    <mergeCell ref="CD26:CF26"/>
    <mergeCell ref="CG26:CI26"/>
    <mergeCell ref="CJ26:CL26"/>
    <mergeCell ref="CM26:CO26"/>
    <mergeCell ref="CP26:CS26"/>
    <mergeCell ref="CT26:CW26"/>
    <mergeCell ref="CD27:CF27"/>
    <mergeCell ref="CG27:CI27"/>
    <mergeCell ref="CJ27:CL27"/>
    <mergeCell ref="CM27:CO27"/>
    <mergeCell ref="CP27:CS27"/>
    <mergeCell ref="CT27:CW27"/>
    <mergeCell ref="CB24:CC24"/>
    <mergeCell ref="CD24:CF24"/>
    <mergeCell ref="CG24:CI24"/>
    <mergeCell ref="CJ24:CL24"/>
    <mergeCell ref="CM24:CO24"/>
    <mergeCell ref="CP24:CS24"/>
    <mergeCell ref="CT24:CW24"/>
    <mergeCell ref="CB25:CC25"/>
    <mergeCell ref="CD25:CF25"/>
    <mergeCell ref="CG25:CI25"/>
    <mergeCell ref="CJ25:CL25"/>
    <mergeCell ref="CM25:CO25"/>
    <mergeCell ref="CP25:CS25"/>
    <mergeCell ref="CT25:CW25"/>
    <mergeCell ref="CB22:CC22"/>
    <mergeCell ref="CD22:CF22"/>
    <mergeCell ref="CG22:CI22"/>
    <mergeCell ref="CJ22:CL22"/>
    <mergeCell ref="CM22:CO22"/>
    <mergeCell ref="CP22:CS22"/>
    <mergeCell ref="CT22:CW22"/>
    <mergeCell ref="CB23:CC23"/>
    <mergeCell ref="CD23:CF23"/>
    <mergeCell ref="CG23:CI23"/>
    <mergeCell ref="CJ23:CL23"/>
    <mergeCell ref="CM23:CO23"/>
    <mergeCell ref="CP23:CS23"/>
    <mergeCell ref="CT23:CW23"/>
    <mergeCell ref="CD20:CF20"/>
    <mergeCell ref="CG20:CI20"/>
    <mergeCell ref="CJ20:CL20"/>
    <mergeCell ref="CM20:CO20"/>
    <mergeCell ref="CT20:CW20"/>
    <mergeCell ref="CB21:CC21"/>
    <mergeCell ref="CD21:CF21"/>
    <mergeCell ref="CG21:CI21"/>
    <mergeCell ref="CJ21:CL21"/>
    <mergeCell ref="CM21:CO21"/>
    <mergeCell ref="CP21:CS21"/>
    <mergeCell ref="CT21:CW21"/>
    <mergeCell ref="CP20:CS20"/>
    <mergeCell ref="CD18:CF18"/>
    <mergeCell ref="CG18:CI18"/>
    <mergeCell ref="CJ18:CO18"/>
    <mergeCell ref="CP18:CW18"/>
    <mergeCell ref="CD19:CF19"/>
    <mergeCell ref="CG19:CI19"/>
    <mergeCell ref="CJ19:CL19"/>
    <mergeCell ref="CM19:CO19"/>
    <mergeCell ref="CP19:CS19"/>
    <mergeCell ref="CT19:CW19"/>
    <mergeCell ref="BY13:BZ13"/>
    <mergeCell ref="CA13:CC13"/>
    <mergeCell ref="CD13:CF13"/>
    <mergeCell ref="CG13:CI13"/>
    <mergeCell ref="CJ13:CL13"/>
    <mergeCell ref="CM13:CO13"/>
    <mergeCell ref="BX14:BZ14"/>
    <mergeCell ref="CA14:CC14"/>
    <mergeCell ref="CD14:CF14"/>
    <mergeCell ref="CG14:CI14"/>
    <mergeCell ref="CJ14:CL14"/>
    <mergeCell ref="CM14:CO14"/>
    <mergeCell ref="BY11:BZ11"/>
    <mergeCell ref="CA11:CC11"/>
    <mergeCell ref="CD11:CF11"/>
    <mergeCell ref="CG11:CI11"/>
    <mergeCell ref="CJ11:CL11"/>
    <mergeCell ref="CM11:CO11"/>
    <mergeCell ref="BY12:BZ12"/>
    <mergeCell ref="CA12:CC12"/>
    <mergeCell ref="CD12:CF12"/>
    <mergeCell ref="CG12:CI12"/>
    <mergeCell ref="CJ12:CL12"/>
    <mergeCell ref="CM12:CO12"/>
    <mergeCell ref="BY9:BZ9"/>
    <mergeCell ref="CA9:CC9"/>
    <mergeCell ref="CD9:CF9"/>
    <mergeCell ref="CG9:CI9"/>
    <mergeCell ref="CJ9:CL9"/>
    <mergeCell ref="CM9:CO9"/>
    <mergeCell ref="BY10:BZ10"/>
    <mergeCell ref="CA10:CC10"/>
    <mergeCell ref="CD10:CF10"/>
    <mergeCell ref="CG10:CI10"/>
    <mergeCell ref="CJ10:CL10"/>
    <mergeCell ref="CM10:CO10"/>
    <mergeCell ref="BY8:BZ8"/>
    <mergeCell ref="CA8:CC8"/>
    <mergeCell ref="CD8:CF8"/>
    <mergeCell ref="CG8:CI8"/>
    <mergeCell ref="CJ8:CL8"/>
    <mergeCell ref="CM8:CO8"/>
    <mergeCell ref="CA6:CC6"/>
    <mergeCell ref="CD6:CL6"/>
    <mergeCell ref="CM6:CO6"/>
    <mergeCell ref="CA7:CC7"/>
    <mergeCell ref="CD7:CF7"/>
    <mergeCell ref="CG7:CI7"/>
    <mergeCell ref="CJ7:CL7"/>
    <mergeCell ref="CM7:CO7"/>
    <mergeCell ref="EP14:ER14"/>
    <mergeCell ref="ES14:EU14"/>
    <mergeCell ref="EV14:EX14"/>
    <mergeCell ref="EY14:FA14"/>
    <mergeCell ref="FB14:FD14"/>
    <mergeCell ref="FE14:FG14"/>
    <mergeCell ref="EQ13:ER13"/>
    <mergeCell ref="ES13:EU13"/>
    <mergeCell ref="EV13:EX13"/>
    <mergeCell ref="EY13:FA13"/>
    <mergeCell ref="FB13:FD13"/>
    <mergeCell ref="FE13:FG13"/>
    <mergeCell ref="FH20:FK20"/>
    <mergeCell ref="ES10:EU10"/>
    <mergeCell ref="EV10:EX10"/>
    <mergeCell ref="EY10:FA10"/>
    <mergeCell ref="FB10:FD10"/>
    <mergeCell ref="FE10:FG10"/>
    <mergeCell ref="EQ9:ER9"/>
    <mergeCell ref="ES9:EU9"/>
    <mergeCell ref="EV9:EX9"/>
    <mergeCell ref="EY9:FA9"/>
    <mergeCell ref="FB9:FD9"/>
    <mergeCell ref="FE9:FG9"/>
    <mergeCell ref="EQ12:ER12"/>
    <mergeCell ref="ES12:EU12"/>
    <mergeCell ref="EV12:EX12"/>
    <mergeCell ref="EY12:FA12"/>
    <mergeCell ref="FB12:FD12"/>
    <mergeCell ref="FE12:FG12"/>
    <mergeCell ref="EQ11:ER11"/>
    <mergeCell ref="ES11:EU11"/>
    <mergeCell ref="EV11:EX11"/>
    <mergeCell ref="EY11:FA11"/>
    <mergeCell ref="FB11:FD11"/>
    <mergeCell ref="FE11:FG11"/>
    <mergeCell ref="ES7:EU7"/>
    <mergeCell ref="EV7:EX7"/>
    <mergeCell ref="EY7:FA7"/>
    <mergeCell ref="FB7:FD7"/>
    <mergeCell ref="FE7:FG7"/>
    <mergeCell ref="ES8:EU8"/>
    <mergeCell ref="EV8:EX8"/>
    <mergeCell ref="EY8:FA8"/>
    <mergeCell ref="FB8:FD8"/>
    <mergeCell ref="EV6:FD6"/>
    <mergeCell ref="FE6:FG6"/>
    <mergeCell ref="EV18:EX18"/>
    <mergeCell ref="EY18:FA18"/>
    <mergeCell ref="FB18:FG18"/>
    <mergeCell ref="FH18:FO18"/>
    <mergeCell ref="EV19:EX19"/>
    <mergeCell ref="EY19:FA19"/>
    <mergeCell ref="FB19:FD19"/>
    <mergeCell ref="FE19:FG19"/>
    <mergeCell ref="FH19:FK19"/>
    <mergeCell ref="FL19:FO19"/>
    <mergeCell ref="FL29:FO29"/>
    <mergeCell ref="EP28:ER28"/>
    <mergeCell ref="EV28:EX28"/>
    <mergeCell ref="EY28:FA28"/>
    <mergeCell ref="FB28:FD28"/>
    <mergeCell ref="FE28:FG28"/>
    <mergeCell ref="FH28:FK28"/>
    <mergeCell ref="EV27:EX27"/>
    <mergeCell ref="EY27:FA27"/>
    <mergeCell ref="FB27:FD27"/>
    <mergeCell ref="FE27:FG27"/>
    <mergeCell ref="FH27:FK27"/>
    <mergeCell ref="FL27:FO27"/>
    <mergeCell ref="FL28:FO28"/>
    <mergeCell ref="EV29:EX29"/>
    <mergeCell ref="EY29:FA29"/>
    <mergeCell ref="FB29:FD29"/>
    <mergeCell ref="FE29:FG29"/>
    <mergeCell ref="FH29:FK29"/>
    <mergeCell ref="FL25:FO25"/>
    <mergeCell ref="ET26:EU26"/>
    <mergeCell ref="EV26:EX26"/>
    <mergeCell ref="EY26:FA26"/>
    <mergeCell ref="FB26:FD26"/>
    <mergeCell ref="FE26:FG26"/>
    <mergeCell ref="FH26:FK26"/>
    <mergeCell ref="FL26:FO26"/>
    <mergeCell ref="ET25:EU25"/>
    <mergeCell ref="EV25:EX25"/>
    <mergeCell ref="EY25:FA25"/>
    <mergeCell ref="FB25:FD25"/>
    <mergeCell ref="FE25:FG25"/>
    <mergeCell ref="FH25:FK25"/>
    <mergeCell ref="FL23:FO23"/>
    <mergeCell ref="ET24:EU24"/>
    <mergeCell ref="EV24:EX24"/>
    <mergeCell ref="EY24:FA24"/>
    <mergeCell ref="FB24:FD24"/>
    <mergeCell ref="FE24:FG24"/>
    <mergeCell ref="FH24:FK24"/>
    <mergeCell ref="FL24:FO24"/>
    <mergeCell ref="ET23:EU23"/>
    <mergeCell ref="EV23:EX23"/>
    <mergeCell ref="EY23:FA23"/>
    <mergeCell ref="FB23:FD23"/>
    <mergeCell ref="FE23:FG23"/>
    <mergeCell ref="FH23:FK23"/>
    <mergeCell ref="FH21:FK21"/>
    <mergeCell ref="FL21:FO21"/>
    <mergeCell ref="ET22:EU22"/>
    <mergeCell ref="EV22:EX22"/>
    <mergeCell ref="EY22:FA22"/>
    <mergeCell ref="FB22:FD22"/>
    <mergeCell ref="FE22:FG22"/>
    <mergeCell ref="FH22:FK22"/>
    <mergeCell ref="FL22:FO22"/>
    <mergeCell ref="ET21:EU21"/>
    <mergeCell ref="EV21:EX21"/>
    <mergeCell ref="EY21:FA21"/>
    <mergeCell ref="FB21:FD21"/>
    <mergeCell ref="FE21:FG21"/>
    <mergeCell ref="EV20:EX20"/>
    <mergeCell ref="EY20:FA20"/>
    <mergeCell ref="FB20:FD20"/>
    <mergeCell ref="FE20:FG20"/>
    <mergeCell ref="EQ8:ER8"/>
    <mergeCell ref="FE8:FG8"/>
    <mergeCell ref="EQ10:ER10"/>
    <mergeCell ref="GB6:GD6"/>
    <mergeCell ref="GE6:GM6"/>
    <mergeCell ref="FZ9:GA9"/>
    <mergeCell ref="GB9:GD9"/>
    <mergeCell ref="GE9:GG9"/>
    <mergeCell ref="GH9:GJ9"/>
    <mergeCell ref="GK9:GM9"/>
    <mergeCell ref="FZ12:GA12"/>
    <mergeCell ref="GB12:GD12"/>
    <mergeCell ref="GE12:GG12"/>
    <mergeCell ref="GH12:GJ12"/>
    <mergeCell ref="GK12:GM12"/>
    <mergeCell ref="GE18:GG18"/>
    <mergeCell ref="GH18:GJ18"/>
    <mergeCell ref="GK18:GP18"/>
    <mergeCell ref="FL20:FO20"/>
    <mergeCell ref="ES6:EU6"/>
    <mergeCell ref="GN6:GP6"/>
    <mergeCell ref="GB7:GD7"/>
    <mergeCell ref="GE7:GG7"/>
    <mergeCell ref="GH7:GJ7"/>
    <mergeCell ref="GK7:GM7"/>
    <mergeCell ref="GN7:GP7"/>
    <mergeCell ref="FZ8:GA8"/>
    <mergeCell ref="GB8:GD8"/>
    <mergeCell ref="GE8:GG8"/>
    <mergeCell ref="GH8:GJ8"/>
    <mergeCell ref="GK8:GM8"/>
    <mergeCell ref="GN8:GP8"/>
    <mergeCell ref="GN9:GP9"/>
    <mergeCell ref="FZ10:GA10"/>
    <mergeCell ref="GB10:GD10"/>
    <mergeCell ref="GE10:GG10"/>
    <mergeCell ref="GH10:GJ10"/>
    <mergeCell ref="GK10:GM10"/>
    <mergeCell ref="GN10:GP10"/>
    <mergeCell ref="FZ11:GA11"/>
    <mergeCell ref="GB11:GD11"/>
    <mergeCell ref="GE11:GG11"/>
    <mergeCell ref="GH11:GJ11"/>
    <mergeCell ref="GK11:GM11"/>
    <mergeCell ref="GN11:GP11"/>
    <mergeCell ref="GN12:GP12"/>
    <mergeCell ref="FZ13:GA13"/>
    <mergeCell ref="GB13:GD13"/>
    <mergeCell ref="GE13:GG13"/>
    <mergeCell ref="GH13:GJ13"/>
    <mergeCell ref="GK13:GM13"/>
    <mergeCell ref="GN13:GP13"/>
    <mergeCell ref="FY14:GA14"/>
    <mergeCell ref="GB14:GD14"/>
    <mergeCell ref="GE14:GG14"/>
    <mergeCell ref="GH14:GJ14"/>
    <mergeCell ref="GK14:GM14"/>
    <mergeCell ref="GN14:GP14"/>
    <mergeCell ref="GQ18:GX18"/>
    <mergeCell ref="GE19:GG19"/>
    <mergeCell ref="GH19:GJ19"/>
    <mergeCell ref="GK19:GM19"/>
    <mergeCell ref="GN19:GP19"/>
    <mergeCell ref="GQ19:GT19"/>
    <mergeCell ref="GU19:GX19"/>
    <mergeCell ref="GE20:GG20"/>
    <mergeCell ref="GH20:GJ20"/>
    <mergeCell ref="GK20:GM20"/>
    <mergeCell ref="GN20:GP20"/>
    <mergeCell ref="GU20:GX20"/>
    <mergeCell ref="GQ20:GT20"/>
    <mergeCell ref="GC21:GD21"/>
    <mergeCell ref="GE21:GG21"/>
    <mergeCell ref="GH21:GJ21"/>
    <mergeCell ref="GK21:GM21"/>
    <mergeCell ref="GN21:GP21"/>
    <mergeCell ref="GQ21:GT21"/>
    <mergeCell ref="GU21:GX21"/>
    <mergeCell ref="GC22:GD22"/>
    <mergeCell ref="GE22:GG22"/>
    <mergeCell ref="GH22:GJ22"/>
    <mergeCell ref="GK22:GM22"/>
    <mergeCell ref="GN22:GP22"/>
    <mergeCell ref="GQ22:GT22"/>
    <mergeCell ref="GU22:GX22"/>
    <mergeCell ref="GC23:GD23"/>
    <mergeCell ref="GE23:GG23"/>
    <mergeCell ref="GH23:GJ23"/>
    <mergeCell ref="GK23:GM23"/>
    <mergeCell ref="GN23:GP23"/>
    <mergeCell ref="GQ23:GT23"/>
    <mergeCell ref="GU23:GX23"/>
    <mergeCell ref="GC24:GD24"/>
    <mergeCell ref="GE24:GG24"/>
    <mergeCell ref="GH24:GJ24"/>
    <mergeCell ref="GK24:GM24"/>
    <mergeCell ref="GN24:GP24"/>
    <mergeCell ref="GQ24:GT24"/>
    <mergeCell ref="GU24:GX24"/>
    <mergeCell ref="GC25:GD25"/>
    <mergeCell ref="GE25:GG25"/>
    <mergeCell ref="GH25:GJ25"/>
    <mergeCell ref="GK25:GM25"/>
    <mergeCell ref="GN25:GP25"/>
    <mergeCell ref="GQ25:GT25"/>
    <mergeCell ref="GU25:GX25"/>
    <mergeCell ref="GC26:GD26"/>
    <mergeCell ref="GE26:GG26"/>
    <mergeCell ref="GH26:GJ26"/>
    <mergeCell ref="GK26:GM26"/>
    <mergeCell ref="GN26:GP26"/>
    <mergeCell ref="GQ26:GT26"/>
    <mergeCell ref="GU26:GX26"/>
    <mergeCell ref="GE27:GG27"/>
    <mergeCell ref="GH27:GJ27"/>
    <mergeCell ref="GK27:GM27"/>
    <mergeCell ref="GN27:GP27"/>
    <mergeCell ref="GQ27:GT27"/>
    <mergeCell ref="GU27:GX27"/>
    <mergeCell ref="FY28:GA28"/>
    <mergeCell ref="GE28:GG28"/>
    <mergeCell ref="GH28:GJ28"/>
    <mergeCell ref="GK28:GM28"/>
    <mergeCell ref="GN28:GP28"/>
    <mergeCell ref="GQ28:GT28"/>
    <mergeCell ref="GU28:GX28"/>
    <mergeCell ref="GE29:GG29"/>
    <mergeCell ref="GH29:GJ29"/>
    <mergeCell ref="GK29:GM29"/>
    <mergeCell ref="GN29:GP29"/>
    <mergeCell ref="GQ29:GT29"/>
    <mergeCell ref="GU29:GX29"/>
    <mergeCell ref="DJ6:DL6"/>
    <mergeCell ref="DM6:DU6"/>
    <mergeCell ref="DV6:DX6"/>
    <mergeCell ref="DJ7:DL7"/>
    <mergeCell ref="DM7:DO7"/>
    <mergeCell ref="DP7:DR7"/>
    <mergeCell ref="DS7:DU7"/>
    <mergeCell ref="DV7:DX7"/>
    <mergeCell ref="DY18:EF18"/>
    <mergeCell ref="DM19:DO19"/>
    <mergeCell ref="DP19:DR19"/>
    <mergeCell ref="DS19:DU19"/>
    <mergeCell ref="DV19:DX19"/>
    <mergeCell ref="DY19:EB19"/>
    <mergeCell ref="EC19:EF19"/>
    <mergeCell ref="DM20:DO20"/>
    <mergeCell ref="DP20:DR20"/>
    <mergeCell ref="DS20:DU20"/>
    <mergeCell ref="DH8:DI8"/>
    <mergeCell ref="DJ8:DL8"/>
    <mergeCell ref="DM8:DO8"/>
    <mergeCell ref="DP8:DR8"/>
    <mergeCell ref="DS8:DU8"/>
    <mergeCell ref="DV8:DX8"/>
    <mergeCell ref="DH9:DI9"/>
    <mergeCell ref="DJ9:DL9"/>
    <mergeCell ref="DM9:DO9"/>
    <mergeCell ref="DP9:DR9"/>
    <mergeCell ref="DS9:DU9"/>
    <mergeCell ref="DV9:DX9"/>
    <mergeCell ref="DH10:DI10"/>
    <mergeCell ref="DJ10:DL10"/>
    <mergeCell ref="DM10:DO10"/>
    <mergeCell ref="DP10:DR10"/>
    <mergeCell ref="DS10:DU10"/>
    <mergeCell ref="DV10:DX10"/>
    <mergeCell ref="DH11:DI11"/>
    <mergeCell ref="DJ11:DL11"/>
    <mergeCell ref="DM11:DO11"/>
    <mergeCell ref="DP11:DR11"/>
    <mergeCell ref="DS11:DU11"/>
    <mergeCell ref="DV11:DX11"/>
    <mergeCell ref="DH12:DI12"/>
    <mergeCell ref="DJ12:DL12"/>
    <mergeCell ref="DM12:DO12"/>
    <mergeCell ref="DP12:DR12"/>
    <mergeCell ref="DS12:DU12"/>
    <mergeCell ref="DV12:DX12"/>
    <mergeCell ref="DH13:DI13"/>
    <mergeCell ref="DJ13:DL13"/>
    <mergeCell ref="DM13:DO13"/>
    <mergeCell ref="DP13:DR13"/>
    <mergeCell ref="DS13:DU13"/>
    <mergeCell ref="DV13:DX13"/>
    <mergeCell ref="DG14:DI14"/>
    <mergeCell ref="DJ14:DL14"/>
    <mergeCell ref="DM14:DO14"/>
    <mergeCell ref="DP14:DR14"/>
    <mergeCell ref="DS14:DU14"/>
    <mergeCell ref="DV14:DX14"/>
    <mergeCell ref="DM18:DO18"/>
    <mergeCell ref="DP18:DR18"/>
    <mergeCell ref="DS18:DX18"/>
    <mergeCell ref="DV20:DX20"/>
    <mergeCell ref="EC20:EF20"/>
    <mergeCell ref="DK21:DL21"/>
    <mergeCell ref="DM21:DO21"/>
    <mergeCell ref="DP21:DR21"/>
    <mergeCell ref="DS21:DU21"/>
    <mergeCell ref="DV21:DX21"/>
    <mergeCell ref="DY21:EB21"/>
    <mergeCell ref="EC21:EF21"/>
    <mergeCell ref="DY20:EB20"/>
    <mergeCell ref="DM22:DO22"/>
    <mergeCell ref="DP22:DR22"/>
    <mergeCell ref="DS22:DU22"/>
    <mergeCell ref="DV22:DX22"/>
    <mergeCell ref="DY22:EB22"/>
    <mergeCell ref="EC22:EF22"/>
    <mergeCell ref="DK23:DL23"/>
    <mergeCell ref="DM23:DO23"/>
    <mergeCell ref="DP23:DR23"/>
    <mergeCell ref="DS23:DU23"/>
    <mergeCell ref="DV23:DX23"/>
    <mergeCell ref="DY23:EB23"/>
    <mergeCell ref="EC23:EF23"/>
    <mergeCell ref="DK22:DL22"/>
    <mergeCell ref="DM29:DO29"/>
    <mergeCell ref="DP29:DR29"/>
    <mergeCell ref="DS29:DU29"/>
    <mergeCell ref="DV29:DX29"/>
    <mergeCell ref="DY29:EB29"/>
    <mergeCell ref="EC29:EF29"/>
    <mergeCell ref="DK26:DL26"/>
    <mergeCell ref="DM26:DO26"/>
    <mergeCell ref="DP26:DR26"/>
    <mergeCell ref="DS26:DU26"/>
    <mergeCell ref="DV26:DX26"/>
    <mergeCell ref="DY26:EB26"/>
    <mergeCell ref="EC26:EF26"/>
    <mergeCell ref="DM27:DO27"/>
    <mergeCell ref="DP27:DR27"/>
    <mergeCell ref="DS27:DU27"/>
    <mergeCell ref="DV27:DX27"/>
    <mergeCell ref="DY27:EB27"/>
    <mergeCell ref="EC27:EF27"/>
    <mergeCell ref="DG28:DI28"/>
    <mergeCell ref="DM28:DO28"/>
    <mergeCell ref="DP28:DR28"/>
    <mergeCell ref="DS28:DU28"/>
    <mergeCell ref="DV28:DX28"/>
    <mergeCell ref="DY28:EB28"/>
    <mergeCell ref="EC28:EF28"/>
    <mergeCell ref="DK24:DL24"/>
    <mergeCell ref="DM24:DO24"/>
    <mergeCell ref="DP24:DR24"/>
    <mergeCell ref="DS24:DU24"/>
    <mergeCell ref="DV24:DX24"/>
    <mergeCell ref="DY24:EB24"/>
    <mergeCell ref="EC24:EF24"/>
    <mergeCell ref="DK25:DL25"/>
    <mergeCell ref="DM25:DO25"/>
    <mergeCell ref="DP25:DR25"/>
    <mergeCell ref="DS25:DU25"/>
    <mergeCell ref="DV25:DX25"/>
    <mergeCell ref="DY25:EB25"/>
    <mergeCell ref="EC25:EF25"/>
  </mergeCells>
  <phoneticPr fontId="1"/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1129A-CC22-425B-B064-58EF50987E88}">
  <dimension ref="C2:BR39"/>
  <sheetViews>
    <sheetView showGridLines="0" view="pageBreakPreview" zoomScale="70" zoomScaleNormal="100" zoomScaleSheetLayoutView="70" workbookViewId="0">
      <selection activeCell="A2" sqref="A2"/>
    </sheetView>
  </sheetViews>
  <sheetFormatPr defaultRowHeight="18"/>
  <cols>
    <col min="1" max="70" width="3" customWidth="1"/>
  </cols>
  <sheetData>
    <row r="2" spans="3:67">
      <c r="C2" t="s">
        <v>485</v>
      </c>
      <c r="AM2" t="s">
        <v>508</v>
      </c>
    </row>
    <row r="3" spans="3:67">
      <c r="D3" t="s">
        <v>503</v>
      </c>
      <c r="AM3" s="210" t="s">
        <v>403</v>
      </c>
      <c r="AN3" s="210"/>
      <c r="AO3" s="258" t="s">
        <v>2</v>
      </c>
      <c r="AP3" s="282" t="s">
        <v>407</v>
      </c>
      <c r="AQ3" s="282"/>
      <c r="AS3" s="258" t="s">
        <v>2</v>
      </c>
      <c r="AT3" s="95"/>
      <c r="AU3" s="282" t="s">
        <v>407</v>
      </c>
      <c r="AV3" s="282"/>
      <c r="AW3" s="10"/>
      <c r="AX3" s="10"/>
      <c r="AZ3" s="258" t="s">
        <v>2</v>
      </c>
      <c r="BA3" s="282" t="s">
        <v>407</v>
      </c>
      <c r="BB3" s="282"/>
    </row>
    <row r="4" spans="3:67">
      <c r="D4" s="237" t="s">
        <v>377</v>
      </c>
      <c r="E4" s="237"/>
      <c r="F4" s="258" t="s">
        <v>2</v>
      </c>
      <c r="G4" s="282" t="s">
        <v>37</v>
      </c>
      <c r="H4" s="282"/>
      <c r="I4" s="393" t="s">
        <v>83</v>
      </c>
      <c r="J4" s="256" t="s">
        <v>378</v>
      </c>
      <c r="K4" s="256"/>
      <c r="L4" s="256"/>
      <c r="M4" s="256"/>
      <c r="N4" s="256"/>
      <c r="AM4" s="210"/>
      <c r="AN4" s="210"/>
      <c r="AO4" s="258"/>
      <c r="AP4" s="382" t="s">
        <v>404</v>
      </c>
      <c r="AQ4" s="382"/>
      <c r="AS4" s="258"/>
      <c r="AT4" s="261">
        <f>H15</f>
        <v>1.1000000000000001</v>
      </c>
      <c r="AU4" s="261"/>
      <c r="AV4" s="1" t="s">
        <v>44</v>
      </c>
      <c r="AW4" s="261">
        <f>R24</f>
        <v>1</v>
      </c>
      <c r="AX4" s="261"/>
      <c r="AZ4" s="258"/>
      <c r="BA4" s="380">
        <f>AT4*AW4</f>
        <v>1.1000000000000001</v>
      </c>
      <c r="BB4" s="380"/>
    </row>
    <row r="5" spans="3:67">
      <c r="D5" s="237"/>
      <c r="E5" s="237"/>
      <c r="F5" s="258"/>
      <c r="G5" s="283">
        <v>2</v>
      </c>
      <c r="H5" s="283"/>
      <c r="I5" s="258"/>
      <c r="J5" s="237" t="s">
        <v>167</v>
      </c>
      <c r="K5" s="237"/>
      <c r="L5" s="237"/>
      <c r="M5" s="237"/>
      <c r="N5" s="237"/>
      <c r="AM5" t="s">
        <v>193</v>
      </c>
    </row>
    <row r="6" spans="3:67">
      <c r="AM6" s="210" t="s">
        <v>403</v>
      </c>
      <c r="AN6" s="210"/>
      <c r="AO6" t="s">
        <v>405</v>
      </c>
    </row>
    <row r="7" spans="3:67">
      <c r="H7" s="280" t="s">
        <v>372</v>
      </c>
      <c r="I7" s="270"/>
      <c r="J7" s="270"/>
      <c r="K7" s="281" t="s">
        <v>337</v>
      </c>
      <c r="L7" s="270"/>
      <c r="M7" s="270"/>
      <c r="N7" s="280" t="s">
        <v>376</v>
      </c>
      <c r="O7" s="270"/>
      <c r="P7" s="271"/>
      <c r="Q7" s="122" t="s">
        <v>373</v>
      </c>
      <c r="R7" s="122"/>
      <c r="S7" s="122"/>
      <c r="T7" s="122"/>
      <c r="U7" s="122"/>
      <c r="V7" s="123"/>
      <c r="W7" s="280" t="s">
        <v>374</v>
      </c>
      <c r="X7" s="270"/>
      <c r="Y7" s="271"/>
      <c r="AM7" s="274" t="s">
        <v>407</v>
      </c>
      <c r="AN7" s="274"/>
      <c r="AO7" t="s">
        <v>406</v>
      </c>
      <c r="AU7" s="210" t="s">
        <v>407</v>
      </c>
      <c r="AV7" s="210"/>
      <c r="AW7" t="s">
        <v>2</v>
      </c>
      <c r="AX7" s="210" t="s">
        <v>168</v>
      </c>
      <c r="AY7" s="210"/>
      <c r="AZ7" s="1" t="s">
        <v>44</v>
      </c>
      <c r="BA7" s="207">
        <v>1</v>
      </c>
      <c r="BB7" s="207"/>
    </row>
    <row r="8" spans="3:67">
      <c r="H8" s="273" t="s">
        <v>385</v>
      </c>
      <c r="I8" s="274"/>
      <c r="J8" s="274"/>
      <c r="K8" s="275" t="s">
        <v>379</v>
      </c>
      <c r="L8" s="274"/>
      <c r="M8" s="274"/>
      <c r="N8" s="273" t="s">
        <v>168</v>
      </c>
      <c r="O8" s="274"/>
      <c r="P8" s="274"/>
      <c r="Q8" s="381" t="s">
        <v>195</v>
      </c>
      <c r="R8" s="382"/>
      <c r="S8" s="383"/>
      <c r="T8" s="381" t="s">
        <v>196</v>
      </c>
      <c r="U8" s="382"/>
      <c r="V8" s="383"/>
      <c r="W8" s="273" t="s">
        <v>375</v>
      </c>
      <c r="X8" s="274"/>
      <c r="Y8" s="276"/>
    </row>
    <row r="9" spans="3:67">
      <c r="H9" s="377" t="s">
        <v>287</v>
      </c>
      <c r="I9" s="183"/>
      <c r="J9" s="183"/>
      <c r="K9" s="370" t="s">
        <v>103</v>
      </c>
      <c r="L9" s="183"/>
      <c r="M9" s="183"/>
      <c r="N9" s="370" t="s">
        <v>103</v>
      </c>
      <c r="O9" s="183"/>
      <c r="P9" s="183"/>
      <c r="Q9" s="277" t="s">
        <v>487</v>
      </c>
      <c r="R9" s="257"/>
      <c r="S9" s="279"/>
      <c r="T9" s="277" t="s">
        <v>487</v>
      </c>
      <c r="U9" s="257"/>
      <c r="V9" s="279"/>
      <c r="W9" s="377" t="s">
        <v>287</v>
      </c>
      <c r="X9" s="183"/>
      <c r="Y9" s="371"/>
      <c r="AM9" t="s">
        <v>409</v>
      </c>
      <c r="AN9" s="9"/>
      <c r="AO9" s="21"/>
      <c r="AP9" s="21"/>
      <c r="AQ9" s="15"/>
      <c r="AR9" s="24"/>
      <c r="AS9" s="24"/>
      <c r="AT9" s="24"/>
      <c r="AU9" s="24"/>
      <c r="AW9" s="15"/>
      <c r="AX9" s="13"/>
      <c r="AY9" s="13"/>
      <c r="AZ9" s="13"/>
      <c r="BA9" s="13"/>
      <c r="BB9" s="13"/>
      <c r="BC9" s="13"/>
      <c r="BE9" s="15"/>
      <c r="BF9" s="22"/>
      <c r="BG9" s="22"/>
      <c r="BH9" s="13"/>
      <c r="BJ9" s="15"/>
      <c r="BK9" s="91"/>
      <c r="BL9" s="91"/>
      <c r="BM9" s="91"/>
      <c r="BN9" s="13"/>
      <c r="BO9" s="13"/>
    </row>
    <row r="10" spans="3:67">
      <c r="E10" s="35">
        <f>'3.照査'!$G$7</f>
        <v>6</v>
      </c>
      <c r="F10" s="202" t="str">
        <f>'3.照査'!$H$7</f>
        <v>段目</v>
      </c>
      <c r="G10" s="203"/>
      <c r="H10" s="387">
        <f>'1.設計条件'!$T$7</f>
        <v>1.1000000000000001</v>
      </c>
      <c r="I10" s="388"/>
      <c r="J10" s="389"/>
      <c r="K10" s="388">
        <f>'4-2.部材'!L29</f>
        <v>18.645848991127874</v>
      </c>
      <c r="L10" s="388"/>
      <c r="M10" s="388"/>
      <c r="N10" s="387">
        <f>'4-2.部材'!O29</f>
        <v>4.8742186207929681</v>
      </c>
      <c r="O10" s="388"/>
      <c r="P10" s="389"/>
      <c r="Q10" s="388">
        <f>'4-2.部材'!X29</f>
        <v>12.350002927760933</v>
      </c>
      <c r="R10" s="388"/>
      <c r="S10" s="388"/>
      <c r="T10" s="387">
        <f>'4-2.部材'!AB29</f>
        <v>1.9047609668609415</v>
      </c>
      <c r="U10" s="388"/>
      <c r="V10" s="389"/>
      <c r="W10" s="387">
        <f>H10/2-(Q10-T10)/K10</f>
        <v>-1.019127720438362E-2</v>
      </c>
      <c r="X10" s="388"/>
      <c r="Y10" s="389"/>
      <c r="AM10" s="9"/>
      <c r="AQ10" s="280" t="s">
        <v>410</v>
      </c>
      <c r="AR10" s="270"/>
      <c r="AS10" s="270"/>
      <c r="AT10" s="384" t="s">
        <v>412</v>
      </c>
      <c r="AU10" s="385"/>
      <c r="AV10" s="385"/>
      <c r="AW10" s="386"/>
      <c r="AX10" s="13"/>
      <c r="AY10" s="384" t="s">
        <v>412</v>
      </c>
      <c r="AZ10" s="385"/>
      <c r="BA10" s="385"/>
      <c r="BB10" s="386"/>
      <c r="BC10" s="15"/>
      <c r="BD10" s="127" t="s">
        <v>397</v>
      </c>
      <c r="BE10" s="128"/>
      <c r="BF10" s="129"/>
    </row>
    <row r="11" spans="3:67">
      <c r="E11" s="5">
        <f>'3.照査'!$G$8</f>
        <v>5</v>
      </c>
      <c r="F11" s="234" t="str">
        <f>'3.照査'!$H$8</f>
        <v>段目</v>
      </c>
      <c r="G11" s="234"/>
      <c r="H11" s="362">
        <f>'1.設計条件'!$T$7</f>
        <v>1.1000000000000001</v>
      </c>
      <c r="I11" s="363"/>
      <c r="J11" s="364"/>
      <c r="K11" s="363">
        <f>'4-2.部材'!AU29</f>
        <v>42.573675129696255</v>
      </c>
      <c r="L11" s="363"/>
      <c r="M11" s="363"/>
      <c r="N11" s="362">
        <f>'4-2.部材'!AX29</f>
        <v>11.914659865001866</v>
      </c>
      <c r="O11" s="363"/>
      <c r="P11" s="364"/>
      <c r="Q11" s="363">
        <f>'4-2.部材'!BG29</f>
        <v>36.976534471030298</v>
      </c>
      <c r="R11" s="363"/>
      <c r="S11" s="363"/>
      <c r="T11" s="362">
        <f>'4-2.部材'!BK29</f>
        <v>10.211453175664133</v>
      </c>
      <c r="U11" s="363"/>
      <c r="V11" s="364"/>
      <c r="W11" s="362">
        <f>H11/2-(Q11-T11)/K11</f>
        <v>-7.8676787095056766E-2</v>
      </c>
      <c r="X11" s="363"/>
      <c r="Y11" s="364"/>
      <c r="AM11" s="9"/>
      <c r="AQ11" s="273" t="s">
        <v>411</v>
      </c>
      <c r="AR11" s="274"/>
      <c r="AS11" s="274"/>
      <c r="AT11" s="213" t="s">
        <v>403</v>
      </c>
      <c r="AU11" s="210"/>
      <c r="AV11" s="210"/>
      <c r="AW11" s="214"/>
      <c r="AX11" s="13"/>
      <c r="AY11" s="213" t="s">
        <v>403</v>
      </c>
      <c r="AZ11" s="210"/>
      <c r="BA11" s="210"/>
      <c r="BB11" s="214"/>
      <c r="BC11" s="15"/>
      <c r="BD11" s="381" t="s">
        <v>413</v>
      </c>
      <c r="BE11" s="382"/>
      <c r="BF11" s="383"/>
    </row>
    <row r="12" spans="3:67">
      <c r="E12" s="5">
        <f>'3.照査'!$G$9</f>
        <v>4</v>
      </c>
      <c r="F12" s="234" t="str">
        <f>'3.照査'!$H$9</f>
        <v>段目</v>
      </c>
      <c r="G12" s="234"/>
      <c r="H12" s="362">
        <f>'1.設計条件'!$T$7</f>
        <v>1.1000000000000001</v>
      </c>
      <c r="I12" s="363"/>
      <c r="J12" s="364"/>
      <c r="K12" s="363">
        <f>'4-2.部材'!CD29</f>
        <v>67.190962267885226</v>
      </c>
      <c r="L12" s="363"/>
      <c r="M12" s="363"/>
      <c r="N12" s="362">
        <f>'4-2.部材'!CG29</f>
        <v>20.008065518341525</v>
      </c>
      <c r="O12" s="363"/>
      <c r="P12" s="364"/>
      <c r="Q12" s="363">
        <f>'4-2.部材'!CP29</f>
        <v>72.070495769233773</v>
      </c>
      <c r="R12" s="363"/>
      <c r="S12" s="363"/>
      <c r="T12" s="362">
        <f>'4-2.部材'!CT29</f>
        <v>26.0850688332416</v>
      </c>
      <c r="U12" s="363"/>
      <c r="V12" s="364"/>
      <c r="W12" s="362">
        <f t="shared" ref="W12:W15" si="0">H12/2-(Q12-T12)/K12</f>
        <v>-0.13439899331478233</v>
      </c>
      <c r="X12" s="363"/>
      <c r="Y12" s="364"/>
      <c r="AM12" s="9"/>
      <c r="AQ12" s="377" t="s">
        <v>332</v>
      </c>
      <c r="AR12" s="183"/>
      <c r="AS12" s="183"/>
      <c r="AT12" s="277" t="s">
        <v>328</v>
      </c>
      <c r="AU12" s="257"/>
      <c r="AV12" s="257"/>
      <c r="AW12" s="279"/>
      <c r="AX12" s="13"/>
      <c r="AY12" s="277" t="s">
        <v>396</v>
      </c>
      <c r="AZ12" s="257"/>
      <c r="BA12" s="257"/>
      <c r="BB12" s="279"/>
      <c r="BC12" s="15"/>
      <c r="BD12" s="94" t="s">
        <v>201</v>
      </c>
      <c r="BE12" s="379">
        <f>'1.設計条件'!T21</f>
        <v>0.32999999999999996</v>
      </c>
      <c r="BF12" s="279"/>
    </row>
    <row r="13" spans="3:67">
      <c r="E13" s="5">
        <f>'3.照査'!$G$10</f>
        <v>3</v>
      </c>
      <c r="F13" s="234" t="str">
        <f>'3.照査'!$H$10</f>
        <v>段目</v>
      </c>
      <c r="G13" s="234"/>
      <c r="H13" s="362">
        <f>'1.設計条件'!$T$7</f>
        <v>1.1000000000000001</v>
      </c>
      <c r="I13" s="363"/>
      <c r="J13" s="364"/>
      <c r="K13" s="363">
        <f>'4-2.部材'!DM29</f>
        <v>92.491639536185005</v>
      </c>
      <c r="L13" s="363"/>
      <c r="M13" s="363"/>
      <c r="N13" s="362">
        <f>'4-2.部材'!DP29</f>
        <v>29.169613837400426</v>
      </c>
      <c r="O13" s="363"/>
      <c r="P13" s="364"/>
      <c r="Q13" s="363">
        <f>'4-2.部材'!DY29</f>
        <v>117.90087997201249</v>
      </c>
      <c r="R13" s="363"/>
      <c r="S13" s="363"/>
      <c r="T13" s="362">
        <f>'4-2.部材'!EC29</f>
        <v>50.579280485157248</v>
      </c>
      <c r="U13" s="363"/>
      <c r="V13" s="364"/>
      <c r="W13" s="362">
        <f t="shared" si="0"/>
        <v>-0.17786686260996987</v>
      </c>
      <c r="X13" s="363"/>
      <c r="Y13" s="364"/>
      <c r="AM13" s="9"/>
      <c r="AN13" s="35">
        <f>'3.照査'!$G$7</f>
        <v>6</v>
      </c>
      <c r="AO13" s="202" t="str">
        <f>'3.照査'!$H$7</f>
        <v>段目</v>
      </c>
      <c r="AP13" s="202"/>
      <c r="AQ13" s="387">
        <f>N10</f>
        <v>4.8742186207929681</v>
      </c>
      <c r="AR13" s="388"/>
      <c r="AS13" s="389"/>
      <c r="AT13" s="362">
        <f>AQ13/BA$4</f>
        <v>4.4311078370845163</v>
      </c>
      <c r="AU13" s="363"/>
      <c r="AV13" s="363"/>
      <c r="AW13" s="93"/>
      <c r="AX13" s="13"/>
      <c r="AY13" s="328">
        <f t="shared" ref="AY13:AY18" si="1">AT13/1000</f>
        <v>4.4311078370845164E-3</v>
      </c>
      <c r="AZ13" s="207"/>
      <c r="BA13" s="207"/>
      <c r="BB13" s="340"/>
      <c r="BC13" s="15"/>
      <c r="BD13" s="280" t="str">
        <f>IF(AY13&lt;=BE$12, "OK", "NG")</f>
        <v>OK</v>
      </c>
      <c r="BE13" s="270"/>
      <c r="BF13" s="271"/>
    </row>
    <row r="14" spans="3:67">
      <c r="E14" s="5">
        <f>'3.照査'!$G$11</f>
        <v>2</v>
      </c>
      <c r="F14" s="234" t="str">
        <f>'3.照査'!$H$11</f>
        <v>段目</v>
      </c>
      <c r="G14" s="234"/>
      <c r="H14" s="362">
        <f>'1.設計条件'!$T$7</f>
        <v>1.1000000000000001</v>
      </c>
      <c r="I14" s="363"/>
      <c r="J14" s="364"/>
      <c r="K14" s="363">
        <f>'4-2.部材'!EV29</f>
        <v>118.09120199531812</v>
      </c>
      <c r="L14" s="363"/>
      <c r="M14" s="363"/>
      <c r="N14" s="362">
        <f>'4-2.部材'!EY29</f>
        <v>40.360635751541004</v>
      </c>
      <c r="O14" s="363"/>
      <c r="P14" s="364"/>
      <c r="Q14" s="363">
        <f>'4-2.部材'!FH29</f>
        <v>174.25964479375384</v>
      </c>
      <c r="R14" s="363"/>
      <c r="S14" s="363"/>
      <c r="T14" s="362">
        <f>'4-2.部材'!FL29</f>
        <v>85.127525009974079</v>
      </c>
      <c r="U14" s="363"/>
      <c r="V14" s="364"/>
      <c r="W14" s="362">
        <f t="shared" si="0"/>
        <v>-0.2047735841262206</v>
      </c>
      <c r="X14" s="363"/>
      <c r="Y14" s="364"/>
      <c r="AM14" s="9"/>
      <c r="AN14" s="5">
        <f>'3.照査'!$G$8</f>
        <v>5</v>
      </c>
      <c r="AO14" s="234" t="str">
        <f>'3.照査'!$H$8</f>
        <v>段目</v>
      </c>
      <c r="AP14" s="234"/>
      <c r="AQ14" s="362">
        <f>N11</f>
        <v>11.914659865001866</v>
      </c>
      <c r="AR14" s="363"/>
      <c r="AS14" s="364"/>
      <c r="AT14" s="328">
        <f>AQ14/BA$4</f>
        <v>10.831508968183513</v>
      </c>
      <c r="AU14" s="207"/>
      <c r="AV14" s="207"/>
      <c r="AW14" s="340"/>
      <c r="AX14" s="13"/>
      <c r="AY14" s="328">
        <f t="shared" si="1"/>
        <v>1.0831508968183513E-2</v>
      </c>
      <c r="AZ14" s="207"/>
      <c r="BA14" s="207"/>
      <c r="BB14" s="340"/>
      <c r="BC14" s="15"/>
      <c r="BD14" s="378" t="str">
        <f>IF(AY14&lt;=BE$12, "OK", "NG")</f>
        <v>OK</v>
      </c>
      <c r="BE14" s="264"/>
      <c r="BF14" s="265"/>
    </row>
    <row r="15" spans="3:67">
      <c r="E15" s="7">
        <f>'3.照査'!$G$12</f>
        <v>1</v>
      </c>
      <c r="F15" s="292" t="str">
        <f>'3.照査'!$H$12</f>
        <v>段目</v>
      </c>
      <c r="G15" s="292"/>
      <c r="H15" s="358">
        <f>'1.設計条件'!$T$7</f>
        <v>1.1000000000000001</v>
      </c>
      <c r="I15" s="359"/>
      <c r="J15" s="360"/>
      <c r="K15" s="359">
        <f>'4-2.部材'!GE29</f>
        <v>143.76043014262171</v>
      </c>
      <c r="L15" s="359"/>
      <c r="M15" s="359"/>
      <c r="N15" s="358">
        <f>'4-2.部材'!GH29</f>
        <v>54.154220901528227</v>
      </c>
      <c r="O15" s="359"/>
      <c r="P15" s="360"/>
      <c r="Q15" s="359">
        <f>'4-2.部材'!GQ29</f>
        <v>240.94879999377014</v>
      </c>
      <c r="R15" s="359"/>
      <c r="S15" s="359"/>
      <c r="T15" s="358">
        <f>'4-2.部材'!GU29</f>
        <v>132.16807306685482</v>
      </c>
      <c r="U15" s="359"/>
      <c r="V15" s="360"/>
      <c r="W15" s="358">
        <f t="shared" si="0"/>
        <v>-0.20668058880316531</v>
      </c>
      <c r="X15" s="359"/>
      <c r="Y15" s="360"/>
      <c r="AM15" s="9"/>
      <c r="AN15" s="5">
        <f>'3.照査'!$G$9</f>
        <v>4</v>
      </c>
      <c r="AO15" s="234" t="str">
        <f>'3.照査'!$H$9</f>
        <v>段目</v>
      </c>
      <c r="AP15" s="234"/>
      <c r="AQ15" s="362">
        <f t="shared" ref="AQ15:AQ18" si="2">N12</f>
        <v>20.008065518341525</v>
      </c>
      <c r="AR15" s="363"/>
      <c r="AS15" s="364"/>
      <c r="AT15" s="328">
        <f t="shared" ref="AT15:AT18" si="3">AQ15/BA$4</f>
        <v>18.189150471219566</v>
      </c>
      <c r="AU15" s="207"/>
      <c r="AV15" s="207"/>
      <c r="AW15" s="340"/>
      <c r="AX15" s="13"/>
      <c r="AY15" s="328">
        <f t="shared" si="1"/>
        <v>1.8189150471219565E-2</v>
      </c>
      <c r="AZ15" s="207"/>
      <c r="BA15" s="207"/>
      <c r="BB15" s="340"/>
      <c r="BC15" s="15"/>
      <c r="BD15" s="378" t="str">
        <f t="shared" ref="BD15:BD18" si="4">IF(AY15&lt;=BE$12, "OK", "NG")</f>
        <v>OK</v>
      </c>
      <c r="BE15" s="264"/>
      <c r="BF15" s="265"/>
    </row>
    <row r="16" spans="3:67">
      <c r="AM16" s="9"/>
      <c r="AN16" s="5">
        <f>'3.照査'!$G$10</f>
        <v>3</v>
      </c>
      <c r="AO16" s="234" t="str">
        <f>'3.照査'!$H$10</f>
        <v>段目</v>
      </c>
      <c r="AP16" s="234"/>
      <c r="AQ16" s="362">
        <f t="shared" si="2"/>
        <v>29.169613837400426</v>
      </c>
      <c r="AR16" s="363"/>
      <c r="AS16" s="364"/>
      <c r="AT16" s="328">
        <f t="shared" si="3"/>
        <v>26.517830761273114</v>
      </c>
      <c r="AU16" s="207"/>
      <c r="AV16" s="207"/>
      <c r="AW16" s="340"/>
      <c r="AX16" s="13"/>
      <c r="AY16" s="328">
        <f t="shared" si="1"/>
        <v>2.6517830761273113E-2</v>
      </c>
      <c r="AZ16" s="207"/>
      <c r="BA16" s="207"/>
      <c r="BB16" s="340"/>
      <c r="BC16" s="15"/>
      <c r="BD16" s="378" t="str">
        <f t="shared" si="4"/>
        <v>OK</v>
      </c>
      <c r="BE16" s="264"/>
      <c r="BF16" s="265"/>
    </row>
    <row r="17" spans="4:58">
      <c r="D17" t="s">
        <v>504</v>
      </c>
      <c r="AM17" s="9"/>
      <c r="AN17" s="5">
        <f>'3.照査'!$G$11</f>
        <v>2</v>
      </c>
      <c r="AO17" s="234" t="str">
        <f>'3.照査'!$H$11</f>
        <v>段目</v>
      </c>
      <c r="AP17" s="234"/>
      <c r="AQ17" s="362">
        <f t="shared" si="2"/>
        <v>40.360635751541004</v>
      </c>
      <c r="AR17" s="363"/>
      <c r="AS17" s="364"/>
      <c r="AT17" s="328">
        <f t="shared" si="3"/>
        <v>36.691487046855457</v>
      </c>
      <c r="AU17" s="207"/>
      <c r="AV17" s="207"/>
      <c r="AW17" s="340"/>
      <c r="AX17" s="13"/>
      <c r="AY17" s="328">
        <f t="shared" si="1"/>
        <v>3.6691487046855459E-2</v>
      </c>
      <c r="AZ17" s="207"/>
      <c r="BA17" s="207"/>
      <c r="BB17" s="340"/>
      <c r="BC17" s="15"/>
      <c r="BD17" s="378" t="str">
        <f t="shared" si="4"/>
        <v>OK</v>
      </c>
      <c r="BE17" s="264"/>
      <c r="BF17" s="265"/>
    </row>
    <row r="18" spans="4:58">
      <c r="D18" s="391" t="s">
        <v>382</v>
      </c>
      <c r="E18" s="231"/>
      <c r="F18" s="258" t="s">
        <v>2</v>
      </c>
      <c r="G18" s="282" t="s">
        <v>380</v>
      </c>
      <c r="H18" s="282"/>
      <c r="I18" s="234" t="s">
        <v>383</v>
      </c>
      <c r="J18" s="282" t="s">
        <v>384</v>
      </c>
      <c r="K18" s="282"/>
      <c r="AM18" s="9"/>
      <c r="AN18" s="7">
        <f>'3.照査'!$G$12</f>
        <v>1</v>
      </c>
      <c r="AO18" s="292" t="str">
        <f>'3.照査'!$H$12</f>
        <v>段目</v>
      </c>
      <c r="AP18" s="292"/>
      <c r="AQ18" s="358">
        <f t="shared" si="2"/>
        <v>54.154220901528227</v>
      </c>
      <c r="AR18" s="359"/>
      <c r="AS18" s="360"/>
      <c r="AT18" s="327">
        <f t="shared" si="3"/>
        <v>49.2311099104802</v>
      </c>
      <c r="AU18" s="238"/>
      <c r="AV18" s="238"/>
      <c r="AW18" s="356"/>
      <c r="AX18" s="13"/>
      <c r="AY18" s="327">
        <f t="shared" si="1"/>
        <v>4.92311099104802E-2</v>
      </c>
      <c r="AZ18" s="238"/>
      <c r="BA18" s="238"/>
      <c r="BB18" s="356"/>
      <c r="BC18" s="15"/>
      <c r="BD18" s="266" t="str">
        <f t="shared" si="4"/>
        <v>OK</v>
      </c>
      <c r="BE18" s="267"/>
      <c r="BF18" s="268"/>
    </row>
    <row r="19" spans="4:58">
      <c r="D19" s="231"/>
      <c r="E19" s="231"/>
      <c r="F19" s="258"/>
      <c r="G19" s="382" t="s">
        <v>40</v>
      </c>
      <c r="H19" s="382"/>
      <c r="I19" s="234"/>
      <c r="J19" s="382" t="s">
        <v>48</v>
      </c>
      <c r="K19" s="382"/>
    </row>
    <row r="20" spans="4:58">
      <c r="D20" t="s">
        <v>193</v>
      </c>
    </row>
    <row r="21" spans="4:58">
      <c r="D21" s="391" t="s">
        <v>382</v>
      </c>
      <c r="E21" s="391"/>
      <c r="F21" t="s">
        <v>391</v>
      </c>
    </row>
    <row r="22" spans="4:58">
      <c r="D22" s="210" t="s">
        <v>380</v>
      </c>
      <c r="E22" s="210"/>
      <c r="F22" t="s">
        <v>408</v>
      </c>
      <c r="K22" s="210" t="s">
        <v>380</v>
      </c>
      <c r="L22" s="210"/>
      <c r="M22" t="s">
        <v>2</v>
      </c>
      <c r="N22" s="210" t="s">
        <v>379</v>
      </c>
      <c r="O22" s="210"/>
      <c r="P22" s="1" t="s">
        <v>44</v>
      </c>
      <c r="Q22" s="207">
        <v>1</v>
      </c>
      <c r="R22" s="207"/>
    </row>
    <row r="23" spans="4:58">
      <c r="D23" s="210" t="s">
        <v>40</v>
      </c>
      <c r="E23" s="210"/>
      <c r="F23" t="s">
        <v>507</v>
      </c>
    </row>
    <row r="24" spans="4:58">
      <c r="F24" s="210" t="s">
        <v>40</v>
      </c>
      <c r="G24" s="210"/>
      <c r="H24" t="s">
        <v>2</v>
      </c>
      <c r="I24" s="249" t="s">
        <v>37</v>
      </c>
      <c r="J24" s="249"/>
      <c r="K24" s="1" t="s">
        <v>44</v>
      </c>
      <c r="L24" s="207">
        <v>1</v>
      </c>
      <c r="M24" s="207"/>
      <c r="N24" t="s">
        <v>2</v>
      </c>
      <c r="O24" s="207">
        <f>'1.設計条件'!T7</f>
        <v>1.1000000000000001</v>
      </c>
      <c r="P24" s="207"/>
      <c r="Q24" s="1" t="s">
        <v>44</v>
      </c>
      <c r="R24" s="207">
        <v>1</v>
      </c>
      <c r="S24" s="207"/>
      <c r="T24" t="s">
        <v>2</v>
      </c>
      <c r="U24" s="207">
        <f>O24*R24</f>
        <v>1.1000000000000001</v>
      </c>
      <c r="V24" s="207"/>
      <c r="W24" s="1" t="s">
        <v>386</v>
      </c>
    </row>
    <row r="25" spans="4:58">
      <c r="D25" s="210" t="s">
        <v>375</v>
      </c>
      <c r="E25" s="210"/>
      <c r="F25" t="s">
        <v>374</v>
      </c>
    </row>
    <row r="26" spans="4:58">
      <c r="D26" s="210" t="s">
        <v>48</v>
      </c>
      <c r="E26" s="210"/>
      <c r="F26" t="s">
        <v>392</v>
      </c>
    </row>
    <row r="27" spans="4:58">
      <c r="D27" s="9"/>
      <c r="E27" s="9"/>
      <c r="F27" s="237" t="s">
        <v>48</v>
      </c>
      <c r="G27" s="237"/>
      <c r="H27" s="258" t="s">
        <v>2</v>
      </c>
      <c r="I27" s="207">
        <v>1</v>
      </c>
      <c r="J27" s="207"/>
      <c r="K27" s="282" t="s">
        <v>387</v>
      </c>
      <c r="L27" s="282"/>
      <c r="N27" s="258" t="s">
        <v>2</v>
      </c>
      <c r="O27" s="238">
        <v>1</v>
      </c>
      <c r="P27" s="238"/>
      <c r="Q27" s="19" t="s">
        <v>44</v>
      </c>
      <c r="R27" s="238">
        <f>'1.設計条件'!T7</f>
        <v>1.1000000000000001</v>
      </c>
      <c r="S27" s="238"/>
      <c r="T27" s="19" t="s">
        <v>318</v>
      </c>
      <c r="V27" s="258" t="s">
        <v>2</v>
      </c>
      <c r="W27" s="207">
        <f>O27*R27^2/O28</f>
        <v>0.20166666666666669</v>
      </c>
      <c r="X27" s="207"/>
      <c r="Y27" s="184" t="s">
        <v>505</v>
      </c>
      <c r="AA27" s="14"/>
      <c r="AB27" s="92"/>
      <c r="AC27" s="92"/>
      <c r="AD27" s="92"/>
      <c r="AE27" s="1"/>
      <c r="AF27" s="1"/>
    </row>
    <row r="28" spans="4:58">
      <c r="D28" s="9"/>
      <c r="E28" s="9"/>
      <c r="F28" s="237"/>
      <c r="G28" s="237"/>
      <c r="H28" s="258"/>
      <c r="I28" s="283">
        <v>6</v>
      </c>
      <c r="J28" s="283"/>
      <c r="K28" s="283"/>
      <c r="L28" s="283"/>
      <c r="N28" s="258"/>
      <c r="O28" s="321">
        <f>I28</f>
        <v>6</v>
      </c>
      <c r="P28" s="321"/>
      <c r="Q28" s="321"/>
      <c r="R28" s="321"/>
      <c r="S28" s="321"/>
      <c r="T28" s="321"/>
      <c r="V28" s="258"/>
      <c r="W28" s="207"/>
      <c r="X28" s="207"/>
      <c r="Y28" s="184"/>
      <c r="AA28" s="14"/>
      <c r="AB28" s="92"/>
      <c r="AC28" s="92"/>
      <c r="AD28" s="92"/>
      <c r="AE28" s="1"/>
      <c r="AF28" s="1"/>
    </row>
    <row r="29" spans="4:58">
      <c r="D29" t="s">
        <v>506</v>
      </c>
      <c r="E29" s="9"/>
      <c r="F29" s="21"/>
      <c r="G29" s="21"/>
      <c r="H29" s="15"/>
      <c r="I29" s="24"/>
      <c r="J29" s="24"/>
      <c r="K29" s="24"/>
      <c r="L29" s="24"/>
      <c r="N29" s="15"/>
      <c r="O29" s="13"/>
      <c r="P29" s="13"/>
      <c r="Q29" s="13"/>
      <c r="R29" s="13"/>
      <c r="S29" s="13"/>
      <c r="T29" s="13"/>
      <c r="V29" s="15"/>
      <c r="W29" s="22"/>
      <c r="X29" s="22"/>
      <c r="Y29" s="13"/>
      <c r="AA29" s="15"/>
      <c r="AB29" s="91"/>
      <c r="AC29" s="91"/>
      <c r="AD29" s="91"/>
      <c r="AE29" s="13"/>
      <c r="AF29" s="13"/>
    </row>
    <row r="30" spans="4:58">
      <c r="D30" s="9"/>
      <c r="H30" s="280" t="s">
        <v>388</v>
      </c>
      <c r="I30" s="270"/>
      <c r="J30" s="270"/>
      <c r="K30" s="281" t="s">
        <v>374</v>
      </c>
      <c r="L30" s="270"/>
      <c r="M30" s="271"/>
      <c r="N30" s="127" t="s">
        <v>393</v>
      </c>
      <c r="O30" s="128"/>
      <c r="P30" s="128"/>
      <c r="Q30" s="128"/>
      <c r="R30" s="128"/>
      <c r="S30" s="129"/>
      <c r="T30" s="13"/>
      <c r="U30" s="127" t="s">
        <v>393</v>
      </c>
      <c r="V30" s="128"/>
      <c r="W30" s="128"/>
      <c r="X30" s="128"/>
      <c r="Y30" s="128"/>
      <c r="Z30" s="129"/>
      <c r="AA30" s="15"/>
      <c r="AB30" s="127" t="s">
        <v>397</v>
      </c>
      <c r="AC30" s="128"/>
      <c r="AD30" s="128"/>
      <c r="AE30" s="128"/>
      <c r="AF30" s="128"/>
      <c r="AG30" s="129"/>
    </row>
    <row r="31" spans="4:58">
      <c r="D31" s="9"/>
      <c r="H31" s="273" t="s">
        <v>389</v>
      </c>
      <c r="I31" s="274"/>
      <c r="J31" s="274"/>
      <c r="K31" s="273" t="s">
        <v>390</v>
      </c>
      <c r="L31" s="274"/>
      <c r="M31" s="276"/>
      <c r="N31" s="390" t="s">
        <v>394</v>
      </c>
      <c r="O31" s="391"/>
      <c r="P31" s="391"/>
      <c r="Q31" s="390" t="s">
        <v>395</v>
      </c>
      <c r="R31" s="391"/>
      <c r="S31" s="392"/>
      <c r="T31" s="13"/>
      <c r="U31" s="390" t="s">
        <v>394</v>
      </c>
      <c r="V31" s="391"/>
      <c r="W31" s="391"/>
      <c r="X31" s="390" t="s">
        <v>395</v>
      </c>
      <c r="Y31" s="391"/>
      <c r="Z31" s="392"/>
      <c r="AA31" s="15"/>
      <c r="AB31" s="280" t="s">
        <v>398</v>
      </c>
      <c r="AC31" s="270"/>
      <c r="AD31" s="270"/>
      <c r="AE31" s="280" t="s">
        <v>402</v>
      </c>
      <c r="AF31" s="270"/>
      <c r="AG31" s="271"/>
    </row>
    <row r="32" spans="4:58">
      <c r="D32" s="9"/>
      <c r="H32" s="377" t="s">
        <v>332</v>
      </c>
      <c r="I32" s="183"/>
      <c r="J32" s="183"/>
      <c r="K32" s="370" t="s">
        <v>287</v>
      </c>
      <c r="L32" s="183"/>
      <c r="M32" s="371"/>
      <c r="N32" s="377" t="s">
        <v>328</v>
      </c>
      <c r="O32" s="183"/>
      <c r="P32" s="183"/>
      <c r="Q32" s="377" t="s">
        <v>328</v>
      </c>
      <c r="R32" s="183"/>
      <c r="S32" s="371"/>
      <c r="T32" s="13"/>
      <c r="U32" s="377" t="s">
        <v>396</v>
      </c>
      <c r="V32" s="183"/>
      <c r="W32" s="183"/>
      <c r="X32" s="377" t="s">
        <v>396</v>
      </c>
      <c r="Y32" s="183"/>
      <c r="Z32" s="371"/>
      <c r="AA32" s="15"/>
      <c r="AB32" s="94" t="s">
        <v>400</v>
      </c>
      <c r="AC32" s="394">
        <f>'1.設計条件'!T19</f>
        <v>4.5</v>
      </c>
      <c r="AD32" s="371"/>
      <c r="AE32" s="94" t="s">
        <v>401</v>
      </c>
      <c r="AF32" s="394">
        <f>-'1.設計条件'!T20</f>
        <v>-0.22500000000000001</v>
      </c>
      <c r="AG32" s="371"/>
    </row>
    <row r="33" spans="4:70">
      <c r="D33" s="9"/>
      <c r="E33" s="35">
        <f>'3.照査'!$G$7</f>
        <v>6</v>
      </c>
      <c r="F33" s="202" t="str">
        <f>'3.照査'!$H$7</f>
        <v>段目</v>
      </c>
      <c r="G33" s="202"/>
      <c r="H33" s="387">
        <f t="shared" ref="H33:H38" si="5">K10</f>
        <v>18.645848991127874</v>
      </c>
      <c r="I33" s="388"/>
      <c r="J33" s="389"/>
      <c r="K33" s="388">
        <f t="shared" ref="K33:K38" si="6">W10</f>
        <v>-1.019127720438362E-2</v>
      </c>
      <c r="L33" s="388"/>
      <c r="M33" s="389"/>
      <c r="N33" s="387">
        <f t="shared" ref="N33:N38" si="7">H33/$U$24-H33*K33/$W$27</f>
        <v>17.893044615635226</v>
      </c>
      <c r="O33" s="388"/>
      <c r="P33" s="388"/>
      <c r="Q33" s="387">
        <f t="shared" ref="Q33:Q38" si="8">H33/$U$24+H33*K33/$W$27</f>
        <v>16.008499004597269</v>
      </c>
      <c r="R33" s="388"/>
      <c r="S33" s="389"/>
      <c r="T33" s="13"/>
      <c r="U33" s="387">
        <f>N33/1000</f>
        <v>1.7893044615635227E-2</v>
      </c>
      <c r="V33" s="388"/>
      <c r="W33" s="388"/>
      <c r="X33" s="387">
        <f>Q33/1000</f>
        <v>1.6008499004597269E-2</v>
      </c>
      <c r="Y33" s="388"/>
      <c r="Z33" s="389"/>
      <c r="AA33" s="15"/>
      <c r="AB33" s="280" t="str">
        <f>IF(AND(U33&lt;=AC$32,X33&lt;=AC$32), "OK", "NG")</f>
        <v>OK</v>
      </c>
      <c r="AC33" s="270"/>
      <c r="AD33" s="270"/>
      <c r="AE33" s="280" t="str">
        <f>IF(AND(U33&gt;=AF$32,X33&gt;=AF$32), "OK", "NG")</f>
        <v>OK</v>
      </c>
      <c r="AF33" s="270"/>
      <c r="AG33" s="271"/>
    </row>
    <row r="34" spans="4:70">
      <c r="D34" s="9"/>
      <c r="E34" s="5">
        <f>'3.照査'!$G$8</f>
        <v>5</v>
      </c>
      <c r="F34" s="234" t="str">
        <f>'3.照査'!$H$8</f>
        <v>段目</v>
      </c>
      <c r="G34" s="234"/>
      <c r="H34" s="362">
        <f t="shared" si="5"/>
        <v>42.573675129696255</v>
      </c>
      <c r="I34" s="363"/>
      <c r="J34" s="364"/>
      <c r="K34" s="363">
        <f t="shared" si="6"/>
        <v>-7.8676787095056766E-2</v>
      </c>
      <c r="L34" s="363"/>
      <c r="M34" s="364"/>
      <c r="N34" s="362">
        <f t="shared" si="7"/>
        <v>55.312729327987789</v>
      </c>
      <c r="O34" s="363"/>
      <c r="P34" s="363"/>
      <c r="Q34" s="362">
        <f t="shared" si="8"/>
        <v>22.093952726005391</v>
      </c>
      <c r="R34" s="363"/>
      <c r="S34" s="364"/>
      <c r="T34" s="13"/>
      <c r="U34" s="362">
        <f>N34/1000</f>
        <v>5.5312729327987788E-2</v>
      </c>
      <c r="V34" s="363"/>
      <c r="W34" s="363"/>
      <c r="X34" s="362">
        <f>Q34/1000</f>
        <v>2.2093952726005391E-2</v>
      </c>
      <c r="Y34" s="363"/>
      <c r="Z34" s="364"/>
      <c r="AA34" s="15"/>
      <c r="AB34" s="378" t="str">
        <f t="shared" ref="AB34:AB38" si="9">IF(AND(U34&lt;=AC$32,X34&lt;=AC$32), "OK", "NG")</f>
        <v>OK</v>
      </c>
      <c r="AC34" s="264"/>
      <c r="AD34" s="264"/>
      <c r="AE34" s="378" t="str">
        <f t="shared" ref="AE34:AE38" si="10">IF(AND(U34&gt;=AF$32,X34&gt;=AF$32), "OK", "NG")</f>
        <v>OK</v>
      </c>
      <c r="AF34" s="264"/>
      <c r="AG34" s="265"/>
    </row>
    <row r="35" spans="4:70">
      <c r="D35" s="9"/>
      <c r="E35" s="5">
        <f>'3.照査'!$G$9</f>
        <v>4</v>
      </c>
      <c r="F35" s="234" t="str">
        <f>'3.照査'!$H$9</f>
        <v>段目</v>
      </c>
      <c r="G35" s="234"/>
      <c r="H35" s="362">
        <f t="shared" si="5"/>
        <v>67.190962267885226</v>
      </c>
      <c r="I35" s="363"/>
      <c r="J35" s="364"/>
      <c r="K35" s="363">
        <f t="shared" si="6"/>
        <v>-0.13439899331478233</v>
      </c>
      <c r="L35" s="363"/>
      <c r="M35" s="364"/>
      <c r="N35" s="362">
        <f t="shared" si="7"/>
        <v>105.86152448479795</v>
      </c>
      <c r="O35" s="363"/>
      <c r="P35" s="363"/>
      <c r="Q35" s="362">
        <f t="shared" si="8"/>
        <v>16.303861456811532</v>
      </c>
      <c r="R35" s="363"/>
      <c r="S35" s="364"/>
      <c r="T35" s="13"/>
      <c r="U35" s="362">
        <f t="shared" ref="U35:U38" si="11">N35/1000</f>
        <v>0.10586152448479795</v>
      </c>
      <c r="V35" s="363"/>
      <c r="W35" s="363"/>
      <c r="X35" s="362">
        <f t="shared" ref="X35:X38" si="12">Q35/1000</f>
        <v>1.6303861456811532E-2</v>
      </c>
      <c r="Y35" s="363"/>
      <c r="Z35" s="364"/>
      <c r="AA35" s="15"/>
      <c r="AB35" s="378" t="str">
        <f t="shared" si="9"/>
        <v>OK</v>
      </c>
      <c r="AC35" s="264"/>
      <c r="AD35" s="264"/>
      <c r="AE35" s="378" t="str">
        <f t="shared" si="10"/>
        <v>OK</v>
      </c>
      <c r="AF35" s="264"/>
      <c r="AG35" s="265"/>
    </row>
    <row r="36" spans="4:70">
      <c r="D36" s="9"/>
      <c r="E36" s="5">
        <f>'3.照査'!$G$10</f>
        <v>3</v>
      </c>
      <c r="F36" s="234" t="str">
        <f>'3.照査'!$H$10</f>
        <v>段目</v>
      </c>
      <c r="G36" s="234"/>
      <c r="H36" s="362">
        <f t="shared" si="5"/>
        <v>92.491639536185005</v>
      </c>
      <c r="I36" s="363"/>
      <c r="J36" s="364"/>
      <c r="K36" s="363">
        <f t="shared" si="6"/>
        <v>-0.17786686260996987</v>
      </c>
      <c r="L36" s="363"/>
      <c r="M36" s="364"/>
      <c r="N36" s="362">
        <f t="shared" si="7"/>
        <v>165.65949581944159</v>
      </c>
      <c r="O36" s="363"/>
      <c r="P36" s="363"/>
      <c r="Q36" s="362">
        <f t="shared" si="8"/>
        <v>2.5071215190765628</v>
      </c>
      <c r="R36" s="363"/>
      <c r="S36" s="364"/>
      <c r="T36" s="13"/>
      <c r="U36" s="362">
        <f t="shared" si="11"/>
        <v>0.16565949581944159</v>
      </c>
      <c r="V36" s="363"/>
      <c r="W36" s="363"/>
      <c r="X36" s="362">
        <f t="shared" si="12"/>
        <v>2.5071215190765627E-3</v>
      </c>
      <c r="Y36" s="363"/>
      <c r="Z36" s="364"/>
      <c r="AA36" s="15"/>
      <c r="AB36" s="378" t="str">
        <f t="shared" si="9"/>
        <v>OK</v>
      </c>
      <c r="AC36" s="264"/>
      <c r="AD36" s="264"/>
      <c r="AE36" s="378" t="str">
        <f t="shared" si="10"/>
        <v>OK</v>
      </c>
      <c r="AF36" s="264"/>
      <c r="AG36" s="265"/>
    </row>
    <row r="37" spans="4:70">
      <c r="D37" s="9"/>
      <c r="E37" s="5">
        <f>'3.照査'!$G$11</f>
        <v>2</v>
      </c>
      <c r="F37" s="234" t="str">
        <f>'3.照査'!$H$11</f>
        <v>段目</v>
      </c>
      <c r="G37" s="234"/>
      <c r="H37" s="362">
        <f t="shared" si="5"/>
        <v>118.09120199531812</v>
      </c>
      <c r="I37" s="363"/>
      <c r="J37" s="364"/>
      <c r="K37" s="363">
        <f t="shared" si="6"/>
        <v>-0.2047735841262206</v>
      </c>
      <c r="L37" s="363"/>
      <c r="M37" s="364"/>
      <c r="N37" s="362">
        <f t="shared" si="7"/>
        <v>227.26617711816414</v>
      </c>
      <c r="O37" s="363"/>
      <c r="P37" s="363"/>
      <c r="Q37" s="362">
        <f t="shared" si="8"/>
        <v>-12.554900763040294</v>
      </c>
      <c r="R37" s="363"/>
      <c r="S37" s="364"/>
      <c r="T37" s="13"/>
      <c r="U37" s="362">
        <f t="shared" si="11"/>
        <v>0.22726617711816413</v>
      </c>
      <c r="V37" s="363"/>
      <c r="W37" s="363"/>
      <c r="X37" s="362">
        <f t="shared" si="12"/>
        <v>-1.2554900763040293E-2</v>
      </c>
      <c r="Y37" s="363"/>
      <c r="Z37" s="364"/>
      <c r="AA37" s="15"/>
      <c r="AB37" s="378" t="str">
        <f t="shared" si="9"/>
        <v>OK</v>
      </c>
      <c r="AC37" s="264"/>
      <c r="AD37" s="264"/>
      <c r="AE37" s="378" t="str">
        <f t="shared" si="10"/>
        <v>OK</v>
      </c>
      <c r="AF37" s="264"/>
      <c r="AG37" s="265"/>
    </row>
    <row r="38" spans="4:70">
      <c r="D38" s="9"/>
      <c r="E38" s="7">
        <f>'3.照査'!$G$12</f>
        <v>1</v>
      </c>
      <c r="F38" s="292" t="str">
        <f>'3.照査'!$H$12</f>
        <v>段目</v>
      </c>
      <c r="G38" s="292"/>
      <c r="H38" s="358">
        <f t="shared" si="5"/>
        <v>143.76043014262171</v>
      </c>
      <c r="I38" s="359"/>
      <c r="J38" s="360"/>
      <c r="K38" s="359">
        <f t="shared" si="6"/>
        <v>-0.20668058880316531</v>
      </c>
      <c r="L38" s="359"/>
      <c r="M38" s="360"/>
      <c r="N38" s="358">
        <f t="shared" si="7"/>
        <v>278.02596301464803</v>
      </c>
      <c r="O38" s="359"/>
      <c r="P38" s="359"/>
      <c r="Q38" s="358">
        <f t="shared" si="8"/>
        <v>-16.643362755335801</v>
      </c>
      <c r="R38" s="359"/>
      <c r="S38" s="360"/>
      <c r="T38" s="13"/>
      <c r="U38" s="358">
        <f t="shared" si="11"/>
        <v>0.27802596301464805</v>
      </c>
      <c r="V38" s="359"/>
      <c r="W38" s="359"/>
      <c r="X38" s="358">
        <f t="shared" si="12"/>
        <v>-1.6643362755335799E-2</v>
      </c>
      <c r="Y38" s="359"/>
      <c r="Z38" s="360"/>
      <c r="AA38" s="15"/>
      <c r="AB38" s="266" t="str">
        <f t="shared" si="9"/>
        <v>OK</v>
      </c>
      <c r="AC38" s="267"/>
      <c r="AD38" s="267"/>
      <c r="AE38" s="266" t="str">
        <f t="shared" si="10"/>
        <v>OK</v>
      </c>
      <c r="AF38" s="267"/>
      <c r="AG38" s="268"/>
      <c r="AI38">
        <v>19</v>
      </c>
      <c r="BR38">
        <v>20</v>
      </c>
    </row>
    <row r="39" spans="4:70">
      <c r="D39" s="9"/>
      <c r="E39" s="9"/>
    </row>
  </sheetData>
  <sheetProtection sheet="1" objects="1" scenarios="1"/>
  <mergeCells count="232">
    <mergeCell ref="AO18:AP18"/>
    <mergeCell ref="AQ18:AS18"/>
    <mergeCell ref="AM3:AN4"/>
    <mergeCell ref="AO3:AO4"/>
    <mergeCell ref="AP3:AQ3"/>
    <mergeCell ref="AP4:AQ4"/>
    <mergeCell ref="AM6:AN6"/>
    <mergeCell ref="AM7:AN7"/>
    <mergeCell ref="AQ12:AS12"/>
    <mergeCell ref="AO14:AP14"/>
    <mergeCell ref="AQ14:AS14"/>
    <mergeCell ref="AO17:AP17"/>
    <mergeCell ref="AQ17:AS17"/>
    <mergeCell ref="AO15:AP15"/>
    <mergeCell ref="AQ15:AS15"/>
    <mergeCell ref="AO13:AP13"/>
    <mergeCell ref="AQ13:AS13"/>
    <mergeCell ref="AO16:AP16"/>
    <mergeCell ref="AQ16:AS16"/>
    <mergeCell ref="N22:O22"/>
    <mergeCell ref="W27:X28"/>
    <mergeCell ref="Y27:Y28"/>
    <mergeCell ref="N27:N28"/>
    <mergeCell ref="O27:P27"/>
    <mergeCell ref="R27:S27"/>
    <mergeCell ref="O28:T28"/>
    <mergeCell ref="V27:V28"/>
    <mergeCell ref="AC32:AD32"/>
    <mergeCell ref="N30:S30"/>
    <mergeCell ref="U30:Z30"/>
    <mergeCell ref="U31:W31"/>
    <mergeCell ref="X31:Z31"/>
    <mergeCell ref="U32:W32"/>
    <mergeCell ref="X32:Z32"/>
    <mergeCell ref="AB30:AG30"/>
    <mergeCell ref="AB31:AD31"/>
    <mergeCell ref="AE31:AG31"/>
    <mergeCell ref="AF32:AG32"/>
    <mergeCell ref="Q22:R22"/>
    <mergeCell ref="F27:G28"/>
    <mergeCell ref="H27:H28"/>
    <mergeCell ref="K27:L27"/>
    <mergeCell ref="I27:J27"/>
    <mergeCell ref="I28:L28"/>
    <mergeCell ref="R24:S24"/>
    <mergeCell ref="U24:V24"/>
    <mergeCell ref="D23:E23"/>
    <mergeCell ref="D25:E25"/>
    <mergeCell ref="D26:E26"/>
    <mergeCell ref="F24:G24"/>
    <mergeCell ref="O24:P24"/>
    <mergeCell ref="I24:J24"/>
    <mergeCell ref="L24:M24"/>
    <mergeCell ref="I18:I19"/>
    <mergeCell ref="J18:K18"/>
    <mergeCell ref="J19:K19"/>
    <mergeCell ref="D22:E22"/>
    <mergeCell ref="D21:E21"/>
    <mergeCell ref="D18:E19"/>
    <mergeCell ref="F18:F19"/>
    <mergeCell ref="G18:H18"/>
    <mergeCell ref="G19:H19"/>
    <mergeCell ref="K22:L22"/>
    <mergeCell ref="T14:V14"/>
    <mergeCell ref="T15:V15"/>
    <mergeCell ref="W13:Y13"/>
    <mergeCell ref="W7:Y7"/>
    <mergeCell ref="W14:Y14"/>
    <mergeCell ref="W15:Y15"/>
    <mergeCell ref="W12:Y12"/>
    <mergeCell ref="W8:Y8"/>
    <mergeCell ref="W9:Y9"/>
    <mergeCell ref="W10:Y10"/>
    <mergeCell ref="W11:Y11"/>
    <mergeCell ref="N13:P13"/>
    <mergeCell ref="N14:P14"/>
    <mergeCell ref="N15:P15"/>
    <mergeCell ref="Q7:V7"/>
    <mergeCell ref="Q8:S8"/>
    <mergeCell ref="Q9:S9"/>
    <mergeCell ref="Q10:S10"/>
    <mergeCell ref="Q11:S11"/>
    <mergeCell ref="Q12:S12"/>
    <mergeCell ref="Q13:S13"/>
    <mergeCell ref="N7:P7"/>
    <mergeCell ref="N8:P8"/>
    <mergeCell ref="N9:P9"/>
    <mergeCell ref="N10:P10"/>
    <mergeCell ref="N11:P11"/>
    <mergeCell ref="N12:P12"/>
    <mergeCell ref="Q14:S14"/>
    <mergeCell ref="Q15:S15"/>
    <mergeCell ref="T8:V8"/>
    <mergeCell ref="T9:V9"/>
    <mergeCell ref="T10:V10"/>
    <mergeCell ref="T11:V11"/>
    <mergeCell ref="T12:V12"/>
    <mergeCell ref="T13:V13"/>
    <mergeCell ref="H8:J8"/>
    <mergeCell ref="K8:M8"/>
    <mergeCell ref="H9:J9"/>
    <mergeCell ref="K9:M9"/>
    <mergeCell ref="F14:G14"/>
    <mergeCell ref="H14:J14"/>
    <mergeCell ref="K14:M14"/>
    <mergeCell ref="F15:G15"/>
    <mergeCell ref="H15:J15"/>
    <mergeCell ref="K15:M15"/>
    <mergeCell ref="F12:G12"/>
    <mergeCell ref="H12:J12"/>
    <mergeCell ref="K12:M12"/>
    <mergeCell ref="F13:G13"/>
    <mergeCell ref="H13:J13"/>
    <mergeCell ref="K13:M13"/>
    <mergeCell ref="D4:E5"/>
    <mergeCell ref="F4:F5"/>
    <mergeCell ref="J4:N4"/>
    <mergeCell ref="J5:N5"/>
    <mergeCell ref="G4:H4"/>
    <mergeCell ref="I4:I5"/>
    <mergeCell ref="G5:H5"/>
    <mergeCell ref="F33:G33"/>
    <mergeCell ref="F34:G34"/>
    <mergeCell ref="H30:J30"/>
    <mergeCell ref="K30:M30"/>
    <mergeCell ref="H31:J31"/>
    <mergeCell ref="K31:M31"/>
    <mergeCell ref="N31:P31"/>
    <mergeCell ref="H32:J32"/>
    <mergeCell ref="K32:M32"/>
    <mergeCell ref="F10:G10"/>
    <mergeCell ref="H10:J10"/>
    <mergeCell ref="K10:M10"/>
    <mergeCell ref="F11:G11"/>
    <mergeCell ref="H11:J11"/>
    <mergeCell ref="K11:M11"/>
    <mergeCell ref="H7:J7"/>
    <mergeCell ref="K7:M7"/>
    <mergeCell ref="F38:G38"/>
    <mergeCell ref="H38:J38"/>
    <mergeCell ref="K38:M38"/>
    <mergeCell ref="N38:P38"/>
    <mergeCell ref="N32:P32"/>
    <mergeCell ref="H33:J33"/>
    <mergeCell ref="K33:M33"/>
    <mergeCell ref="N33:P33"/>
    <mergeCell ref="H34:J34"/>
    <mergeCell ref="K34:M34"/>
    <mergeCell ref="N34:P34"/>
    <mergeCell ref="H35:J35"/>
    <mergeCell ref="K35:M35"/>
    <mergeCell ref="N35:P35"/>
    <mergeCell ref="F35:G35"/>
    <mergeCell ref="F36:G36"/>
    <mergeCell ref="N36:P36"/>
    <mergeCell ref="F37:G37"/>
    <mergeCell ref="Q36:S36"/>
    <mergeCell ref="Q37:S37"/>
    <mergeCell ref="Q38:S38"/>
    <mergeCell ref="AE38:AG38"/>
    <mergeCell ref="H36:J36"/>
    <mergeCell ref="K36:M36"/>
    <mergeCell ref="H37:J37"/>
    <mergeCell ref="K37:M37"/>
    <mergeCell ref="N37:P37"/>
    <mergeCell ref="U36:W36"/>
    <mergeCell ref="X36:Z36"/>
    <mergeCell ref="U37:W37"/>
    <mergeCell ref="X37:Z37"/>
    <mergeCell ref="U38:W38"/>
    <mergeCell ref="X38:Z38"/>
    <mergeCell ref="AB38:AD38"/>
    <mergeCell ref="U33:W33"/>
    <mergeCell ref="X33:Z33"/>
    <mergeCell ref="U34:W34"/>
    <mergeCell ref="X34:Z34"/>
    <mergeCell ref="Q31:S31"/>
    <mergeCell ref="Q32:S32"/>
    <mergeCell ref="Q33:S33"/>
    <mergeCell ref="Q34:S34"/>
    <mergeCell ref="U35:W35"/>
    <mergeCell ref="X35:Z35"/>
    <mergeCell ref="Q35:S35"/>
    <mergeCell ref="AB33:AD33"/>
    <mergeCell ref="AE33:AG33"/>
    <mergeCell ref="AB34:AD34"/>
    <mergeCell ref="AE34:AG34"/>
    <mergeCell ref="AB35:AD35"/>
    <mergeCell ref="AE35:AG35"/>
    <mergeCell ref="AB36:AD36"/>
    <mergeCell ref="AE36:AG36"/>
    <mergeCell ref="AB37:AD37"/>
    <mergeCell ref="AE37:AG37"/>
    <mergeCell ref="AZ3:AZ4"/>
    <mergeCell ref="BA3:BB3"/>
    <mergeCell ref="BA4:BB4"/>
    <mergeCell ref="AQ10:AS10"/>
    <mergeCell ref="AQ11:AS11"/>
    <mergeCell ref="BD11:BF11"/>
    <mergeCell ref="AU7:AV7"/>
    <mergeCell ref="AX7:AY7"/>
    <mergeCell ref="AS3:AS4"/>
    <mergeCell ref="AU3:AV3"/>
    <mergeCell ref="AT4:AU4"/>
    <mergeCell ref="AW4:AX4"/>
    <mergeCell ref="BD10:BF10"/>
    <mergeCell ref="AT10:AW10"/>
    <mergeCell ref="AT11:AW11"/>
    <mergeCell ref="AY10:BB10"/>
    <mergeCell ref="AY11:BB11"/>
    <mergeCell ref="BA7:BB7"/>
    <mergeCell ref="AY18:BB18"/>
    <mergeCell ref="BD18:BF18"/>
    <mergeCell ref="AT12:AW12"/>
    <mergeCell ref="AT14:AW14"/>
    <mergeCell ref="AT15:AW15"/>
    <mergeCell ref="AT16:AW16"/>
    <mergeCell ref="AT17:AW17"/>
    <mergeCell ref="AT18:AW18"/>
    <mergeCell ref="AY12:BB12"/>
    <mergeCell ref="AY13:BB13"/>
    <mergeCell ref="AY14:BB14"/>
    <mergeCell ref="AY15:BB15"/>
    <mergeCell ref="AY16:BB16"/>
    <mergeCell ref="AY17:BB17"/>
    <mergeCell ref="BD16:BF16"/>
    <mergeCell ref="BD17:BF17"/>
    <mergeCell ref="BD14:BF14"/>
    <mergeCell ref="BD15:BF15"/>
    <mergeCell ref="BE12:BF12"/>
    <mergeCell ref="AT13:AV13"/>
    <mergeCell ref="BD13:BF13"/>
  </mergeCells>
  <phoneticPr fontId="1"/>
  <conditionalFormatting sqref="AB33:AB38">
    <cfRule type="cellIs" dxfId="2" priority="4" operator="equal">
      <formula>"NG"</formula>
    </cfRule>
  </conditionalFormatting>
  <conditionalFormatting sqref="AE33:AE38">
    <cfRule type="cellIs" dxfId="1" priority="3" operator="equal">
      <formula>"NG"</formula>
    </cfRule>
  </conditionalFormatting>
  <conditionalFormatting sqref="BD13:BD18">
    <cfRule type="cellIs" dxfId="0" priority="2" operator="equal">
      <formula>"NG"</formula>
    </cfRule>
  </conditionalFormatting>
  <pageMargins left="0.70866141732283472" right="0.70866141732283472" top="0.74803149606299213" bottom="0.74803149606299213" header="0.31496062992125984" footer="0.31496062992125984"/>
  <pageSetup paperSize="9" scale="75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1.設計条件</vt:lpstr>
      <vt:lpstr>2.自重</vt:lpstr>
      <vt:lpstr>2.土圧</vt:lpstr>
      <vt:lpstr>3.照査</vt:lpstr>
      <vt:lpstr>4-1.部材</vt:lpstr>
      <vt:lpstr>4-2.部材</vt:lpstr>
      <vt:lpstr>4-3.部材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2023-12-28T07:10:31Z</dcterms:created>
  <dcterms:modified xsi:type="dcterms:W3CDTF">2024-08-16T10:58:47Z</dcterms:modified>
</cp:coreProperties>
</file>